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eLivro"/>
  <workbookProtection workbookPassword="DC9F" lockStructure="1"/>
  <bookViews>
    <workbookView xWindow="720" yWindow="675" windowWidth="19440" windowHeight="11700" firstSheet="1" activeTab="7"/>
  </bookViews>
  <sheets>
    <sheet name="Início" sheetId="1" r:id="rId1"/>
    <sheet name="Atualização de dados" sheetId="33" r:id="rId2"/>
    <sheet name="1_IAA" sheetId="26" r:id="rId3"/>
    <sheet name="2_Av I" sheetId="11" r:id="rId4"/>
    <sheet name="3_Av Ext" sheetId="21" r:id="rId5"/>
    <sheet name="4_Indisciplina" sheetId="23" r:id="rId6"/>
    <sheet name="5.1 - Metas Gerais" sheetId="77" r:id="rId7"/>
    <sheet name="6_Observações" sheetId="13" r:id="rId8"/>
    <sheet name="Anexo_I_Plano_Cap 2016_17" sheetId="75" r:id="rId9"/>
    <sheet name="Anexo_II_Perito_Externo 2016_17" sheetId="76" r:id="rId10"/>
  </sheets>
  <externalReferences>
    <externalReference r:id="rId11"/>
    <externalReference r:id="rId12"/>
    <externalReference r:id="rId13"/>
  </externalReferences>
  <definedNames>
    <definedName name="_3.1_____Avaliação_Aferida_4.º_ano" localSheetId="9">'Anexo_II_Perito_Externo 2016_17'!#REF!</definedName>
    <definedName name="_3.1_____Avaliação_Aferida_4.º_ano">'3_Av Ext'!$A$6</definedName>
    <definedName name="_3.2_____Avaliação_Aferida_6.º_ano" localSheetId="9">'Anexo_II_Perito_Externo 2016_17'!#REF!</definedName>
    <definedName name="_3.2_____Avaliação_Aferida_6.º_ano">'3_Av Ext'!#REF!</definedName>
    <definedName name="_3.3_____Avaliação_Aferida_9.º_ano" localSheetId="9">'Anexo_II_Perito_Externo 2016_17'!#REF!</definedName>
    <definedName name="_3.3_____Avaliação_Aferida_9.º_ano">'3_Av Ext'!$A$15</definedName>
    <definedName name="_3.4_____Avaliação_Aferida_12.º_ano" localSheetId="9">'Anexo_II_Perito_Externo 2016_17'!#REF!</definedName>
    <definedName name="_3.4_____Avaliação_Aferida_12.º_ano">'3_Av Ext'!$A$38</definedName>
    <definedName name="a__Taxa_de_repetência_por_ano_de_escolaridade_ciclo" localSheetId="6">#REF!</definedName>
    <definedName name="a__Taxa_de_repetência_por_ano_de_escolaridade_ciclo" localSheetId="8">#REF!</definedName>
    <definedName name="a__Taxa_de_repetência_por_ano_de_escolaridade_ciclo" localSheetId="9">#REF!</definedName>
    <definedName name="a__Taxa_de_repetência_por_ano_de_escolaridade_ciclo">#REF!</definedName>
    <definedName name="_xlnm.Print_Area" localSheetId="2">'1_IAA'!$A$1:$K$44,'1_IAA'!$A$46:$K$165</definedName>
    <definedName name="_xlnm.Print_Area" localSheetId="3">'2_Av I'!$A$1:$AA$64</definedName>
    <definedName name="_xlnm.Print_Area" localSheetId="4">'3_Av Ext'!$A$1:$O$60</definedName>
    <definedName name="_xlnm.Print_Area" localSheetId="6">'5.1 - Metas Gerais'!$A$1:$M$133</definedName>
    <definedName name="_xlnm.Print_Area" localSheetId="8">'Anexo_I_Plano_Cap 2016_17'!$A$1:$Q$44</definedName>
    <definedName name="_xlnm.Print_Area" localSheetId="9">'Anexo_II_Perito_Externo 2016_17'!$A$1:$N$31</definedName>
    <definedName name="b" localSheetId="8">'[1]5_Metas'!#REF!</definedName>
    <definedName name="b" localSheetId="9">'[1]5_Metas'!#REF!</definedName>
    <definedName name="b">'[1]5_Metas'!#REF!</definedName>
    <definedName name="b_" localSheetId="6">'[1]5_Metas'!#REF!</definedName>
    <definedName name="b_" localSheetId="8">'[1]5_Metas'!#REF!</definedName>
    <definedName name="b_" localSheetId="9">'[1]5_Metas'!#REF!</definedName>
    <definedName name="b_">'[1]5_Metas'!#REF!</definedName>
    <definedName name="b__Resultados_nas_provas_de_aferição_e_exames_nacionais___Língua_Portuguesa_e_Matemática" localSheetId="6">'[2]5_Metas'!#REF!</definedName>
    <definedName name="b__Resultados_nas_provas_de_aferição_e_exames_nacionais___Língua_Portuguesa_e_Matemática" localSheetId="8">'[3]5_Metas'!#REF!</definedName>
    <definedName name="b__Resultados_nas_provas_de_aferição_e_exames_nacionais___Língua_Portuguesa_e_Matemática" localSheetId="9">#REF!</definedName>
    <definedName name="b__Resultados_nas_provas_de_aferição_e_exames_nacionais___Língua_Portuguesa_e_Matemática">#REF!</definedName>
    <definedName name="c__Taxa_de_abandono_por_ciclo" localSheetId="6">'[2]5_Metas'!#REF!</definedName>
    <definedName name="c__Taxa_de_abandono_por_ciclo" localSheetId="8">'[3]5_Metas'!#REF!</definedName>
    <definedName name="c__Taxa_de_abandono_por_ciclo" localSheetId="9">#REF!</definedName>
    <definedName name="c__Taxa_de_abandono_por_ciclo">#REF!</definedName>
    <definedName name="d" localSheetId="9">#REF!</definedName>
    <definedName name="d">#REF!</definedName>
    <definedName name="d__Taxa_de_absentismo_por_ciclo" localSheetId="6">'[2]5_Metas'!#REF!</definedName>
    <definedName name="d__Taxa_de_absentismo_por_ciclo" localSheetId="8">'[3]5_Metas'!#REF!</definedName>
    <definedName name="d__Taxa_de_absentismo_por_ciclo" localSheetId="9">#REF!</definedName>
    <definedName name="d__Taxa_de_absentismo_por_ciclo">#REF!</definedName>
    <definedName name="e__Indisciplina" localSheetId="6">'[2]5_Metas'!#REF!</definedName>
    <definedName name="e__Indisciplina" localSheetId="8">'[3]5_Metas'!#REF!</definedName>
    <definedName name="e__Indisciplina" localSheetId="9">#REF!</definedName>
    <definedName name="e__Indisciplina">#REF!</definedName>
    <definedName name="G" localSheetId="6">#REF!</definedName>
    <definedName name="G" localSheetId="8">#REF!</definedName>
    <definedName name="G" localSheetId="9">#REF!</definedName>
    <definedName name="G">#REF!</definedName>
    <definedName name="GG" localSheetId="6">#REF!</definedName>
    <definedName name="GG" localSheetId="8">#REF!</definedName>
    <definedName name="GG" localSheetId="9">#REF!</definedName>
    <definedName name="GG">#REF!</definedName>
    <definedName name="GGG" localSheetId="6">#REF!</definedName>
    <definedName name="GGG" localSheetId="8">#REF!</definedName>
    <definedName name="GGG" localSheetId="9">#REF!</definedName>
    <definedName name="GGG">#REF!</definedName>
    <definedName name="GGGG" localSheetId="6">#REF!</definedName>
    <definedName name="GGGG" localSheetId="8">#REF!</definedName>
    <definedName name="GGGG" localSheetId="9">#REF!</definedName>
    <definedName name="GGGG">#REF!</definedName>
    <definedName name="GI" localSheetId="6">#REF!</definedName>
    <definedName name="GI" localSheetId="8">#REF!</definedName>
    <definedName name="GI" localSheetId="9">#REF!</definedName>
    <definedName name="GI">#REF!</definedName>
    <definedName name="GII" localSheetId="6">#REF!</definedName>
    <definedName name="GII" localSheetId="8">#REF!</definedName>
    <definedName name="GII" localSheetId="9">#REF!</definedName>
    <definedName name="GII">#REF!</definedName>
    <definedName name="GIII" localSheetId="6">#REF!</definedName>
    <definedName name="GIII" localSheetId="8">#REF!</definedName>
    <definedName name="GIII" localSheetId="9">#REF!</definedName>
    <definedName name="GIII">#REF!</definedName>
    <definedName name="GIIII" localSheetId="6">#REF!</definedName>
    <definedName name="GIIII" localSheetId="8">#REF!</definedName>
    <definedName name="GIIII" localSheetId="9">#REF!</definedName>
    <definedName name="GIIII">#REF!</definedName>
    <definedName name="H" localSheetId="6">'[3]5_Metas'!#REF!</definedName>
    <definedName name="H" localSheetId="9">'[3]5_Metas'!#REF!</definedName>
    <definedName name="H">'[3]5_Metas'!#REF!</definedName>
    <definedName name="o" localSheetId="9">'[3]5_Metas'!#REF!</definedName>
    <definedName name="o">'[3]5_Metas'!#REF!</definedName>
    <definedName name="Q3_2" localSheetId="8">#REF!</definedName>
    <definedName name="Q3_2" localSheetId="9">#REF!</definedName>
    <definedName name="Q3_2">#REF!</definedName>
    <definedName name="_xlnm.Print_Titles" localSheetId="2">'1_IAA'!$1:$3</definedName>
    <definedName name="_xlnm.Print_Titles" localSheetId="3">'2_Av I'!$1:$1</definedName>
    <definedName name="_xlnm.Print_Titles" localSheetId="4">'3_Av Ext'!$1:$2</definedName>
    <definedName name="_xlnm.Print_Titles" localSheetId="6">'5.1 - Metas Gerais'!$4:$4</definedName>
    <definedName name="_xlnm.Print_Titles" localSheetId="8">'Anexo_I_Plano_Cap 2016_17'!$A:$D</definedName>
    <definedName name="_xlnm.Print_Titles" localSheetId="9">'Anexo_II_Perito_Externo 2016_17'!$1:$1</definedName>
  </definedNames>
  <calcPr calcId="144525" concurrentCalc="0"/>
</workbook>
</file>

<file path=xl/calcChain.xml><?xml version="1.0" encoding="utf-8"?>
<calcChain xmlns="http://schemas.openxmlformats.org/spreadsheetml/2006/main">
  <c r="M36" i="11" l="1"/>
  <c r="M37" i="11"/>
  <c r="N37" i="11"/>
  <c r="AA20" i="11"/>
  <c r="AA21" i="11"/>
  <c r="AA22" i="11"/>
  <c r="X20" i="11"/>
  <c r="X21" i="11"/>
  <c r="X22" i="11"/>
  <c r="S20" i="11"/>
  <c r="S21" i="11"/>
  <c r="S22" i="11"/>
  <c r="U20" i="11"/>
  <c r="U21" i="11"/>
  <c r="U22" i="11"/>
  <c r="O1" i="11"/>
  <c r="AB1" i="11"/>
  <c r="U19" i="11"/>
  <c r="P21" i="11"/>
  <c r="P22" i="11"/>
  <c r="P20" i="11"/>
  <c r="N21" i="11"/>
  <c r="N22" i="11"/>
  <c r="N20" i="11"/>
  <c r="K21" i="11"/>
  <c r="K22" i="11"/>
  <c r="K20" i="11"/>
  <c r="I21" i="11"/>
  <c r="I22" i="11"/>
  <c r="I20" i="11"/>
  <c r="F22" i="11"/>
  <c r="F21" i="11"/>
  <c r="F20" i="11"/>
  <c r="D22" i="11"/>
  <c r="D21" i="11"/>
  <c r="D20" i="11"/>
  <c r="L1" i="76"/>
  <c r="J1" i="75"/>
  <c r="G1" i="13"/>
  <c r="A1" i="76"/>
  <c r="A1" i="75"/>
  <c r="A1" i="13"/>
  <c r="A1" i="77"/>
  <c r="A1" i="23"/>
  <c r="A1" i="21"/>
  <c r="A1" i="11"/>
  <c r="A1" i="26"/>
  <c r="A1" i="33"/>
  <c r="G1" i="33"/>
  <c r="I1" i="33"/>
  <c r="L1" i="21"/>
  <c r="P1" i="21"/>
  <c r="C32" i="77"/>
  <c r="D32" i="77"/>
  <c r="O37" i="77"/>
  <c r="M1" i="77"/>
  <c r="N1" i="77"/>
  <c r="N29" i="21"/>
  <c r="N20" i="21"/>
  <c r="C23" i="21"/>
  <c r="E23" i="21"/>
  <c r="G23" i="21"/>
  <c r="O23" i="21"/>
  <c r="M23" i="21"/>
  <c r="I1" i="26"/>
  <c r="L1" i="26"/>
  <c r="J54" i="26"/>
  <c r="C125" i="77"/>
  <c r="J1" i="23"/>
  <c r="L1" i="23"/>
  <c r="C79" i="26"/>
  <c r="C96" i="77"/>
  <c r="G96" i="77"/>
  <c r="G79" i="26"/>
  <c r="I94" i="77"/>
  <c r="E125" i="77"/>
  <c r="D125" i="77"/>
  <c r="G82" i="77"/>
  <c r="G73" i="77"/>
  <c r="F82" i="77"/>
  <c r="F73" i="77"/>
  <c r="D82" i="77"/>
  <c r="C82" i="77"/>
  <c r="G64" i="77"/>
  <c r="F64" i="77"/>
  <c r="D73" i="77"/>
  <c r="D64" i="77"/>
  <c r="C73" i="77"/>
  <c r="C64" i="77"/>
  <c r="C55" i="77"/>
  <c r="D55" i="77"/>
  <c r="E55" i="77"/>
  <c r="F55" i="77"/>
  <c r="G55" i="77"/>
  <c r="I161" i="26"/>
  <c r="G161" i="26"/>
  <c r="E161" i="26"/>
  <c r="I118" i="26"/>
  <c r="G118" i="26"/>
  <c r="E118" i="26"/>
  <c r="I79" i="26"/>
  <c r="E79" i="26"/>
  <c r="I40" i="26"/>
  <c r="G40" i="26"/>
  <c r="E40" i="26"/>
  <c r="G22" i="77"/>
  <c r="F22" i="77"/>
  <c r="E22" i="77"/>
  <c r="D22" i="77"/>
  <c r="C22" i="77"/>
  <c r="G12" i="77"/>
  <c r="F12" i="77"/>
  <c r="E12" i="77"/>
  <c r="D12" i="77"/>
  <c r="C12" i="77"/>
  <c r="N23" i="21"/>
  <c r="N24" i="21"/>
  <c r="K23" i="21"/>
  <c r="K24" i="21"/>
  <c r="I23" i="21"/>
  <c r="I24" i="21"/>
  <c r="G24" i="21"/>
  <c r="E24" i="21"/>
  <c r="C24" i="21"/>
  <c r="F47" i="77"/>
  <c r="N42" i="77"/>
  <c r="E42" i="77"/>
  <c r="G42" i="77"/>
  <c r="J45" i="77"/>
  <c r="L45" i="77"/>
  <c r="N45" i="77"/>
  <c r="J42" i="77"/>
  <c r="J46" i="77"/>
  <c r="L46" i="77"/>
  <c r="N46" i="77"/>
  <c r="N47" i="77"/>
  <c r="A47" i="77"/>
  <c r="A37" i="77"/>
  <c r="A27" i="77"/>
  <c r="A17" i="77"/>
  <c r="O87" i="77"/>
  <c r="N82" i="77"/>
  <c r="E82" i="77"/>
  <c r="J85" i="77"/>
  <c r="L85" i="77"/>
  <c r="N85" i="77"/>
  <c r="H82" i="77"/>
  <c r="J86" i="77"/>
  <c r="L86" i="77"/>
  <c r="N86" i="77"/>
  <c r="N87" i="77"/>
  <c r="H87" i="77"/>
  <c r="O78" i="77"/>
  <c r="N73" i="77"/>
  <c r="H73" i="77"/>
  <c r="J77" i="77"/>
  <c r="L77" i="77"/>
  <c r="N77" i="77"/>
  <c r="E73" i="77"/>
  <c r="J76" i="77"/>
  <c r="O69" i="77"/>
  <c r="N64" i="77"/>
  <c r="H64" i="77"/>
  <c r="J68" i="77"/>
  <c r="E64" i="77"/>
  <c r="J67" i="77"/>
  <c r="O60" i="77"/>
  <c r="N55" i="77"/>
  <c r="H55" i="77"/>
  <c r="J59" i="77"/>
  <c r="J58" i="77"/>
  <c r="L76" i="77"/>
  <c r="N76" i="77"/>
  <c r="N78" i="77"/>
  <c r="H78" i="77"/>
  <c r="L59" i="77"/>
  <c r="N59" i="77"/>
  <c r="L58" i="77"/>
  <c r="N58" i="77"/>
  <c r="L68" i="77"/>
  <c r="N68" i="77"/>
  <c r="L67" i="77"/>
  <c r="N67" i="77"/>
  <c r="L39" i="77"/>
  <c r="F37" i="77"/>
  <c r="N32" i="77"/>
  <c r="E32" i="77"/>
  <c r="G32" i="77"/>
  <c r="J35" i="77"/>
  <c r="L35" i="77"/>
  <c r="N35" i="77"/>
  <c r="J32" i="77"/>
  <c r="J36" i="77"/>
  <c r="L36" i="77"/>
  <c r="N36" i="77"/>
  <c r="N37" i="77"/>
  <c r="B29" i="77"/>
  <c r="F27" i="77"/>
  <c r="F17" i="77"/>
  <c r="C161" i="26"/>
  <c r="C114" i="77"/>
  <c r="C118" i="26"/>
  <c r="C105" i="77"/>
  <c r="H124" i="77"/>
  <c r="F125" i="77"/>
  <c r="N125" i="77"/>
  <c r="G125" i="77"/>
  <c r="J128" i="77"/>
  <c r="N69" i="77"/>
  <c r="H69" i="77"/>
  <c r="N60" i="77"/>
  <c r="H60" i="77"/>
  <c r="L128" i="77"/>
  <c r="N128" i="77"/>
  <c r="N129" i="77"/>
  <c r="P129" i="77"/>
  <c r="O17" i="77"/>
  <c r="N12" i="77"/>
  <c r="K12" i="77"/>
  <c r="M12" i="77"/>
  <c r="J16" i="77"/>
  <c r="H12" i="77"/>
  <c r="J12" i="77"/>
  <c r="J15" i="77"/>
  <c r="G17" i="77"/>
  <c r="H47" i="77"/>
  <c r="O47" i="77"/>
  <c r="O27" i="77"/>
  <c r="N22" i="77"/>
  <c r="K22" i="77"/>
  <c r="M22" i="77"/>
  <c r="J26" i="77"/>
  <c r="H22" i="77"/>
  <c r="J22" i="77"/>
  <c r="J25" i="77"/>
  <c r="G27" i="77"/>
  <c r="G37" i="77"/>
  <c r="H37" i="77"/>
  <c r="G47" i="77"/>
  <c r="P87" i="77"/>
  <c r="L89" i="77"/>
  <c r="H129" i="77"/>
  <c r="L131" i="77"/>
  <c r="L25" i="77"/>
  <c r="N25" i="77"/>
  <c r="L26" i="77"/>
  <c r="N26" i="77"/>
  <c r="L16" i="77"/>
  <c r="N16" i="77"/>
  <c r="L15" i="77"/>
  <c r="N15" i="77"/>
  <c r="N17" i="77"/>
  <c r="N27" i="77"/>
  <c r="H27" i="77"/>
  <c r="P47" i="77"/>
  <c r="H17" i="77"/>
  <c r="L49" i="77"/>
  <c r="I12" i="23"/>
  <c r="K12" i="23"/>
  <c r="J12" i="23"/>
  <c r="F12" i="23"/>
  <c r="E12" i="23"/>
  <c r="N32" i="21"/>
  <c r="G56" i="21"/>
  <c r="G57" i="21"/>
  <c r="C32" i="21"/>
  <c r="E32" i="21"/>
  <c r="G32" i="21"/>
  <c r="I32" i="21"/>
  <c r="K32" i="21"/>
  <c r="M32" i="21"/>
  <c r="M24" i="21"/>
  <c r="I47" i="21"/>
  <c r="I46" i="21"/>
  <c r="G46" i="21"/>
  <c r="M46" i="21"/>
  <c r="K46" i="21"/>
  <c r="M56" i="21"/>
  <c r="K56" i="21"/>
  <c r="I56" i="21"/>
  <c r="I57" i="21"/>
  <c r="M57" i="21"/>
  <c r="K57" i="21"/>
  <c r="X19" i="11"/>
  <c r="L38" i="11"/>
  <c r="L37" i="11"/>
  <c r="L36" i="11"/>
  <c r="F38" i="11"/>
  <c r="F37" i="11"/>
  <c r="F36" i="11"/>
  <c r="D38" i="11"/>
  <c r="D37" i="11"/>
  <c r="T50" i="11"/>
  <c r="Y50" i="11"/>
  <c r="J38" i="11"/>
  <c r="J37" i="11"/>
  <c r="J36" i="11"/>
  <c r="H38" i="11"/>
  <c r="H37" i="11"/>
  <c r="H36" i="11"/>
  <c r="D36" i="11"/>
  <c r="M38" i="11"/>
  <c r="N38" i="11"/>
  <c r="M35" i="11"/>
  <c r="D35" i="11"/>
  <c r="Y61" i="11"/>
  <c r="Y60" i="11"/>
  <c r="Y59" i="11"/>
  <c r="Y58" i="11"/>
  <c r="Y57" i="11"/>
  <c r="Y56" i="11"/>
  <c r="Y55" i="11"/>
  <c r="Y54" i="11"/>
  <c r="Y53" i="11"/>
  <c r="Y52" i="11"/>
  <c r="Y51" i="11"/>
  <c r="T52" i="11"/>
  <c r="T61" i="11"/>
  <c r="X11" i="11"/>
  <c r="X12" i="11"/>
  <c r="X13" i="11"/>
  <c r="X14" i="11"/>
  <c r="X15" i="11"/>
  <c r="X16" i="11"/>
  <c r="X17" i="11"/>
  <c r="X18" i="11"/>
  <c r="U18" i="11"/>
  <c r="U17" i="11"/>
  <c r="U16" i="11"/>
  <c r="U15" i="11"/>
  <c r="U14" i="11"/>
  <c r="U13" i="11"/>
  <c r="U12" i="11"/>
  <c r="U11" i="11"/>
  <c r="S19" i="11"/>
  <c r="S18" i="11"/>
  <c r="S17" i="11"/>
  <c r="S16" i="11"/>
  <c r="S15" i="11"/>
  <c r="S14" i="11"/>
  <c r="S13" i="11"/>
  <c r="S12" i="11"/>
  <c r="S11" i="11"/>
  <c r="J161" i="26"/>
  <c r="H161" i="26"/>
  <c r="F161" i="26"/>
  <c r="G105" i="77"/>
  <c r="I103" i="77"/>
  <c r="J118" i="26"/>
  <c r="H118" i="26"/>
  <c r="F118" i="26"/>
  <c r="C40" i="26"/>
  <c r="F36" i="26"/>
  <c r="H36" i="26"/>
  <c r="J36" i="26"/>
  <c r="F55" i="26"/>
  <c r="H55" i="26"/>
  <c r="J55" i="26"/>
  <c r="F63" i="26"/>
  <c r="H63" i="26"/>
  <c r="J63" i="26"/>
  <c r="F69" i="26"/>
  <c r="H69" i="26"/>
  <c r="J69" i="26"/>
  <c r="F75" i="26"/>
  <c r="H75" i="26"/>
  <c r="J75" i="26"/>
  <c r="F94" i="26"/>
  <c r="H94" i="26"/>
  <c r="J94" i="26"/>
  <c r="F102" i="26"/>
  <c r="H102" i="26"/>
  <c r="J102" i="26"/>
  <c r="F108" i="26"/>
  <c r="H108" i="26"/>
  <c r="J108" i="26"/>
  <c r="F114" i="26"/>
  <c r="H114" i="26"/>
  <c r="J114" i="26"/>
  <c r="F133" i="26"/>
  <c r="H133" i="26"/>
  <c r="J133" i="26"/>
  <c r="F139" i="26"/>
  <c r="H139" i="26"/>
  <c r="J139" i="26"/>
  <c r="F145" i="26"/>
  <c r="H145" i="26"/>
  <c r="J145" i="26"/>
  <c r="F151" i="26"/>
  <c r="H151" i="26"/>
  <c r="J151" i="26"/>
  <c r="J157" i="26"/>
  <c r="H157" i="26"/>
  <c r="F157" i="26"/>
  <c r="J56" i="26"/>
  <c r="H56" i="26"/>
  <c r="F56" i="26"/>
  <c r="J58" i="26"/>
  <c r="H58" i="26"/>
  <c r="F58" i="26"/>
  <c r="J64" i="26"/>
  <c r="H64" i="26"/>
  <c r="F64" i="26"/>
  <c r="J70" i="26"/>
  <c r="H70" i="26"/>
  <c r="F70" i="26"/>
  <c r="J76" i="26"/>
  <c r="H76" i="26"/>
  <c r="F76" i="26"/>
  <c r="J95" i="26"/>
  <c r="H95" i="26"/>
  <c r="F95" i="26"/>
  <c r="J97" i="26"/>
  <c r="H97" i="26"/>
  <c r="F97" i="26"/>
  <c r="J103" i="26"/>
  <c r="H103" i="26"/>
  <c r="F103" i="26"/>
  <c r="J109" i="26"/>
  <c r="H109" i="26"/>
  <c r="F109" i="26"/>
  <c r="J115" i="26"/>
  <c r="H115" i="26"/>
  <c r="F115" i="26"/>
  <c r="J134" i="26"/>
  <c r="H134" i="26"/>
  <c r="F134" i="26"/>
  <c r="J140" i="26"/>
  <c r="H140" i="26"/>
  <c r="F140" i="26"/>
  <c r="J146" i="26"/>
  <c r="H146" i="26"/>
  <c r="F146" i="26"/>
  <c r="J152" i="26"/>
  <c r="H152" i="26"/>
  <c r="F152" i="26"/>
  <c r="J158" i="26"/>
  <c r="H158" i="26"/>
  <c r="F158" i="26"/>
  <c r="I12" i="26"/>
  <c r="D17" i="26"/>
  <c r="G17" i="26"/>
  <c r="J17" i="26"/>
  <c r="H12" i="26"/>
  <c r="F160" i="26"/>
  <c r="J160" i="26"/>
  <c r="H160" i="26"/>
  <c r="J117" i="26"/>
  <c r="H117" i="26"/>
  <c r="F117" i="26"/>
  <c r="J78" i="26"/>
  <c r="H78" i="26"/>
  <c r="F78" i="26"/>
  <c r="J79" i="26"/>
  <c r="H79" i="26"/>
  <c r="F79" i="26"/>
  <c r="J40" i="26"/>
  <c r="H40" i="26"/>
  <c r="F39" i="26"/>
  <c r="H39" i="26"/>
  <c r="J39" i="26"/>
  <c r="J37" i="26"/>
  <c r="H37" i="26"/>
  <c r="F37" i="26"/>
  <c r="J31" i="26"/>
  <c r="J29" i="26"/>
  <c r="H31" i="26"/>
  <c r="H29" i="26"/>
  <c r="F31" i="26"/>
  <c r="F29" i="26"/>
  <c r="J28" i="26"/>
  <c r="G114" i="77"/>
  <c r="I112" i="77"/>
  <c r="N114" i="77"/>
  <c r="O118" i="77"/>
  <c r="O109" i="77"/>
  <c r="H105" i="77"/>
  <c r="J108" i="77"/>
  <c r="N105" i="77"/>
  <c r="O100" i="77"/>
  <c r="N96" i="77"/>
  <c r="H96" i="77"/>
  <c r="J99" i="77"/>
  <c r="O32" i="21"/>
  <c r="H35" i="11"/>
  <c r="J35" i="11"/>
  <c r="L35" i="11"/>
  <c r="N36" i="11"/>
  <c r="F35" i="11"/>
  <c r="F40" i="26"/>
  <c r="H28" i="26"/>
  <c r="F28" i="26"/>
  <c r="H114" i="77"/>
  <c r="J117" i="77"/>
  <c r="L117" i="77"/>
  <c r="N117" i="77"/>
  <c r="N118" i="77"/>
  <c r="H118" i="77"/>
  <c r="L108" i="77"/>
  <c r="N108" i="77"/>
  <c r="N109" i="77"/>
  <c r="H109" i="77"/>
  <c r="L99" i="77"/>
  <c r="N99" i="77"/>
  <c r="N100" i="77"/>
  <c r="H100" i="77"/>
  <c r="F12" i="26"/>
  <c r="D12" i="26"/>
  <c r="O30" i="76"/>
  <c r="O27" i="76"/>
  <c r="O24" i="76"/>
  <c r="O21" i="76"/>
  <c r="O18" i="76"/>
  <c r="O14" i="76"/>
  <c r="O26" i="76"/>
  <c r="T51" i="11"/>
  <c r="T53" i="11"/>
  <c r="T54" i="11"/>
  <c r="T55" i="11"/>
  <c r="T56" i="11"/>
  <c r="T57" i="11"/>
  <c r="T58" i="11"/>
  <c r="T59" i="11"/>
  <c r="T60" i="11"/>
  <c r="AA12" i="11"/>
  <c r="AA13" i="11"/>
  <c r="AA14" i="11"/>
  <c r="AA15" i="11"/>
  <c r="AA16" i="11"/>
  <c r="AA17" i="11"/>
  <c r="AA18" i="11"/>
  <c r="AA19" i="11"/>
  <c r="AA11" i="11"/>
  <c r="M47" i="21"/>
  <c r="K47" i="21"/>
  <c r="G47" i="21"/>
  <c r="M33" i="21"/>
  <c r="K33" i="21"/>
  <c r="I33" i="21"/>
  <c r="G33" i="21"/>
  <c r="E33" i="21"/>
  <c r="C33" i="21"/>
  <c r="E13" i="23"/>
  <c r="T1" i="11"/>
  <c r="M13" i="23"/>
  <c r="I13" i="23"/>
  <c r="J13" i="23"/>
  <c r="F13" i="23"/>
  <c r="K13" i="23"/>
  <c r="O33" i="21"/>
  <c r="P118" i="77"/>
  <c r="N133" i="77"/>
  <c r="K133" i="77"/>
  <c r="O1" i="76"/>
  <c r="O24" i="21"/>
  <c r="G31" i="21"/>
  <c r="N13" i="11"/>
  <c r="I17" i="11"/>
  <c r="K18" i="11"/>
  <c r="D19" i="11"/>
  <c r="N19" i="11"/>
  <c r="F15" i="11"/>
  <c r="J60" i="11"/>
  <c r="O57" i="11"/>
  <c r="E50" i="11"/>
  <c r="P11" i="11"/>
  <c r="N11" i="11"/>
  <c r="P19" i="11"/>
  <c r="D15" i="11"/>
  <c r="F19" i="11"/>
  <c r="E61" i="11"/>
  <c r="O59" i="11"/>
  <c r="J58" i="11"/>
  <c r="E57" i="11"/>
  <c r="O55" i="11"/>
  <c r="E55" i="11"/>
  <c r="J61" i="11"/>
  <c r="J59" i="11"/>
  <c r="O58" i="11"/>
  <c r="E56" i="11"/>
  <c r="J55" i="11"/>
  <c r="O54" i="11"/>
  <c r="J52" i="11"/>
  <c r="O51" i="11"/>
  <c r="J50" i="11"/>
  <c r="O52" i="11"/>
  <c r="J51" i="11"/>
  <c r="L133" i="77"/>
  <c r="L120" i="77"/>
  <c r="I22" i="21"/>
  <c r="E30" i="21"/>
  <c r="E10" i="23"/>
  <c r="F11" i="23"/>
  <c r="O53" i="11"/>
  <c r="F13" i="11"/>
  <c r="E52" i="11"/>
  <c r="E60" i="11"/>
  <c r="K15" i="11"/>
  <c r="D17" i="11"/>
  <c r="D16" i="11"/>
  <c r="J57" i="11"/>
  <c r="J54" i="11"/>
  <c r="J56" i="11"/>
  <c r="E59" i="11"/>
  <c r="O61" i="11"/>
  <c r="I15" i="11"/>
  <c r="F17" i="11"/>
  <c r="P16" i="11"/>
  <c r="P13" i="11"/>
  <c r="E51" i="11"/>
  <c r="F18" i="11"/>
  <c r="D18" i="11"/>
  <c r="I14" i="11"/>
  <c r="N18" i="11"/>
  <c r="P18" i="11"/>
  <c r="K17" i="11"/>
  <c r="D13" i="11"/>
  <c r="F14" i="11"/>
  <c r="D14" i="11"/>
  <c r="I18" i="11"/>
  <c r="N14" i="11"/>
  <c r="P14" i="11"/>
  <c r="K14" i="11"/>
  <c r="I21" i="21"/>
  <c r="N30" i="21"/>
  <c r="N31" i="21"/>
  <c r="N22" i="21"/>
  <c r="C20" i="21"/>
  <c r="N21" i="21"/>
  <c r="C30" i="21"/>
  <c r="G22" i="21"/>
  <c r="K21" i="21"/>
  <c r="I45" i="21"/>
  <c r="G45" i="21"/>
  <c r="G30" i="21"/>
  <c r="E31" i="21"/>
  <c r="C31" i="21"/>
  <c r="M20" i="21"/>
  <c r="C21" i="21"/>
  <c r="M31" i="21"/>
  <c r="K55" i="21"/>
  <c r="M55" i="21"/>
  <c r="M21" i="21"/>
  <c r="G21" i="21"/>
  <c r="K20" i="21"/>
  <c r="K30" i="21"/>
  <c r="K31" i="21"/>
  <c r="M30" i="21"/>
  <c r="G55" i="21"/>
  <c r="I55" i="21"/>
  <c r="C22" i="21"/>
  <c r="E21" i="21"/>
  <c r="M29" i="21"/>
  <c r="I31" i="21"/>
  <c r="E20" i="21"/>
  <c r="G20" i="21"/>
  <c r="E22" i="21"/>
  <c r="M45" i="21"/>
  <c r="K45" i="21"/>
  <c r="I30" i="21"/>
  <c r="K22" i="21"/>
  <c r="I20" i="21"/>
  <c r="O50" i="11"/>
  <c r="J53" i="11"/>
  <c r="E53" i="11"/>
  <c r="P15" i="11"/>
  <c r="N15" i="11"/>
  <c r="E54" i="11"/>
  <c r="O56" i="11"/>
  <c r="E58" i="11"/>
  <c r="O60" i="11"/>
  <c r="K19" i="11"/>
  <c r="I19" i="11"/>
  <c r="F60" i="26"/>
  <c r="F156" i="26"/>
  <c r="J138" i="26"/>
  <c r="J34" i="26"/>
  <c r="J154" i="26"/>
  <c r="H72" i="26"/>
  <c r="H99" i="26"/>
  <c r="J111" i="26"/>
  <c r="H155" i="26"/>
  <c r="H149" i="26"/>
  <c r="F150" i="26"/>
  <c r="J62" i="26"/>
  <c r="J99" i="26"/>
  <c r="H60" i="26"/>
  <c r="F100" i="26"/>
  <c r="F99" i="26"/>
  <c r="F73" i="26"/>
  <c r="H62" i="26"/>
  <c r="F112" i="26"/>
  <c r="H101" i="26"/>
  <c r="J143" i="26"/>
  <c r="H34" i="26"/>
  <c r="H154" i="26"/>
  <c r="J73" i="26"/>
  <c r="H27" i="26"/>
  <c r="J149" i="26"/>
  <c r="H73" i="26"/>
  <c r="H138" i="26"/>
  <c r="F27" i="26"/>
  <c r="H61" i="26"/>
  <c r="H107" i="26"/>
  <c r="J137" i="26"/>
  <c r="J67" i="26"/>
  <c r="J113" i="26"/>
  <c r="F35" i="26"/>
  <c r="J148" i="26"/>
  <c r="J107" i="26"/>
  <c r="F111" i="26"/>
  <c r="F67" i="26"/>
  <c r="F33" i="26"/>
  <c r="F138" i="26"/>
  <c r="J68" i="26"/>
  <c r="J100" i="26"/>
  <c r="H111" i="26"/>
  <c r="F91" i="26"/>
  <c r="F149" i="26"/>
  <c r="F72" i="26"/>
  <c r="F66" i="26"/>
  <c r="H156" i="26"/>
  <c r="F136" i="26"/>
  <c r="J26" i="26"/>
  <c r="F113" i="26"/>
  <c r="H113" i="26"/>
  <c r="H67" i="26"/>
  <c r="H137" i="26"/>
  <c r="J105" i="26"/>
  <c r="J155" i="26"/>
  <c r="H54" i="26"/>
  <c r="F54" i="26"/>
  <c r="F34" i="26"/>
  <c r="J101" i="26"/>
  <c r="J72" i="26"/>
  <c r="J156" i="26"/>
  <c r="J142" i="26"/>
  <c r="H112" i="26"/>
  <c r="H66" i="26"/>
  <c r="H148" i="26"/>
  <c r="H131" i="26"/>
  <c r="H136" i="26"/>
  <c r="H150" i="26"/>
  <c r="H68" i="26"/>
  <c r="H100" i="26"/>
  <c r="J112" i="26"/>
  <c r="H74" i="26"/>
  <c r="H142" i="26"/>
  <c r="F105" i="26"/>
  <c r="F101" i="26"/>
  <c r="F154" i="26"/>
  <c r="J136" i="26"/>
  <c r="J35" i="26"/>
  <c r="H35" i="26"/>
  <c r="J33" i="26"/>
  <c r="J144" i="26"/>
  <c r="J74" i="26"/>
  <c r="H33" i="26"/>
  <c r="H144" i="26"/>
  <c r="F68" i="26"/>
  <c r="F61" i="26"/>
  <c r="J61" i="26"/>
  <c r="F74" i="26"/>
  <c r="J150" i="26"/>
  <c r="H132" i="26"/>
  <c r="I29" i="21"/>
  <c r="K29" i="21"/>
  <c r="M22" i="21"/>
  <c r="C29" i="21"/>
  <c r="E29" i="21"/>
  <c r="G29" i="21"/>
  <c r="F16" i="11"/>
  <c r="F11" i="11"/>
  <c r="D11" i="11"/>
  <c r="N16" i="11"/>
  <c r="F12" i="11"/>
  <c r="D12" i="11"/>
  <c r="I16" i="11"/>
  <c r="K16" i="11"/>
  <c r="K13" i="11"/>
  <c r="I13" i="11"/>
  <c r="M9" i="23"/>
  <c r="F9" i="23"/>
  <c r="E11" i="23"/>
  <c r="I9" i="23"/>
  <c r="K9" i="23"/>
  <c r="E9" i="23"/>
  <c r="K12" i="11"/>
  <c r="I12" i="11"/>
  <c r="P12" i="11"/>
  <c r="N12" i="11"/>
  <c r="N17" i="11"/>
  <c r="P17" i="11"/>
  <c r="I11" i="11"/>
  <c r="K11" i="11"/>
  <c r="F10" i="23"/>
  <c r="M10" i="23"/>
  <c r="I11" i="23"/>
  <c r="K11" i="23"/>
  <c r="I10" i="23"/>
  <c r="K10" i="23"/>
  <c r="F155" i="26"/>
  <c r="F137" i="26"/>
  <c r="F148" i="26"/>
  <c r="F52" i="26"/>
  <c r="J66" i="26"/>
  <c r="F53" i="26"/>
  <c r="J106" i="26"/>
  <c r="J130" i="26"/>
  <c r="F106" i="26"/>
  <c r="H106" i="26"/>
  <c r="H53" i="26"/>
  <c r="J92" i="26"/>
  <c r="F143" i="26"/>
  <c r="F92" i="26"/>
  <c r="F130" i="26"/>
  <c r="H143" i="26"/>
  <c r="H105" i="26"/>
  <c r="F131" i="26"/>
  <c r="H91" i="26"/>
  <c r="J93" i="26"/>
  <c r="J131" i="26"/>
  <c r="F62" i="26"/>
  <c r="J60" i="26"/>
  <c r="F107" i="26"/>
  <c r="H93" i="26"/>
  <c r="J91" i="26"/>
  <c r="F132" i="26"/>
  <c r="H92" i="26"/>
  <c r="F144" i="26"/>
  <c r="H130" i="26"/>
  <c r="F142" i="26"/>
  <c r="J52" i="26"/>
  <c r="J53" i="26"/>
  <c r="F93" i="26"/>
  <c r="H52" i="26"/>
  <c r="J132" i="26"/>
  <c r="O20" i="21"/>
  <c r="O31" i="21"/>
  <c r="O30" i="21"/>
  <c r="O21" i="21"/>
  <c r="O22" i="21"/>
  <c r="H25" i="26"/>
  <c r="K27" i="26"/>
  <c r="J27" i="26"/>
  <c r="F25" i="26"/>
  <c r="F26" i="26"/>
  <c r="J25" i="26"/>
  <c r="H26" i="26"/>
  <c r="O29" i="21"/>
  <c r="J10" i="23"/>
  <c r="J11" i="23"/>
  <c r="J9" i="23"/>
  <c r="K25" i="26"/>
  <c r="K26" i="26"/>
</calcChain>
</file>

<file path=xl/comments1.xml><?xml version="1.0" encoding="utf-8"?>
<comments xmlns="http://schemas.openxmlformats.org/spreadsheetml/2006/main">
  <authors>
    <author>Paulo André (DGE)</author>
    <author>pandre</author>
  </authors>
  <commentList>
    <comment ref="C22" authorId="0">
      <text>
        <r>
          <rPr>
            <b/>
            <sz val="9"/>
            <color indexed="81"/>
            <rFont val="Tahoma"/>
            <family val="2"/>
          </rPr>
          <t>Incluir todos os alunos inscritos excepto os transferidos para fora da UO</t>
        </r>
        <r>
          <rPr>
            <sz val="9"/>
            <color indexed="81"/>
            <rFont val="Tahoma"/>
            <family val="2"/>
          </rPr>
          <t xml:space="preserve">
</t>
        </r>
      </text>
    </comment>
    <comment ref="E22" authorId="1">
      <text>
        <r>
          <rPr>
            <b/>
            <sz val="8"/>
            <color indexed="81"/>
            <rFont val="Arial"/>
            <family val="2"/>
          </rPr>
          <t>Não considerar os alunos retidos por excesso de faltas injustificadas</t>
        </r>
      </text>
    </comment>
    <comment ref="G22" authorId="1">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22"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49" authorId="0">
      <text>
        <r>
          <rPr>
            <b/>
            <sz val="9"/>
            <color indexed="81"/>
            <rFont val="Tahoma"/>
            <family val="2"/>
          </rPr>
          <t>Incluir todos os alunos inscritos excepto os transferidos para fora da UO</t>
        </r>
        <r>
          <rPr>
            <sz val="9"/>
            <color indexed="81"/>
            <rFont val="Tahoma"/>
            <family val="2"/>
          </rPr>
          <t xml:space="preserve">
</t>
        </r>
      </text>
    </comment>
    <comment ref="E49" authorId="1">
      <text>
        <r>
          <rPr>
            <b/>
            <sz val="8"/>
            <color indexed="81"/>
            <rFont val="Arial"/>
            <family val="2"/>
          </rPr>
          <t>Não considerar os alunos retidos por excesso de faltas injustificadas</t>
        </r>
      </text>
    </comment>
    <comment ref="G49" authorId="1">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49"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88" authorId="0">
      <text>
        <r>
          <rPr>
            <b/>
            <sz val="9"/>
            <color indexed="81"/>
            <rFont val="Tahoma"/>
            <family val="2"/>
          </rPr>
          <t>Incluir todos os alunos inscritos excepto os transferidos para fora da UO</t>
        </r>
        <r>
          <rPr>
            <sz val="9"/>
            <color indexed="81"/>
            <rFont val="Tahoma"/>
            <family val="2"/>
          </rPr>
          <t xml:space="preserve">
</t>
        </r>
      </text>
    </comment>
    <comment ref="E88" authorId="1">
      <text>
        <r>
          <rPr>
            <b/>
            <sz val="8"/>
            <color indexed="81"/>
            <rFont val="Arial"/>
            <family val="2"/>
          </rPr>
          <t>Não considerar os alunos retidos por excesso de faltas injustificadas</t>
        </r>
      </text>
    </comment>
    <comment ref="G88" authorId="1">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88"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127" authorId="0">
      <text>
        <r>
          <rPr>
            <b/>
            <sz val="9"/>
            <color indexed="81"/>
            <rFont val="Tahoma"/>
            <family val="2"/>
          </rPr>
          <t>Incluir todos os alunos inscritos excepto os transferidos para fora da UO</t>
        </r>
        <r>
          <rPr>
            <sz val="9"/>
            <color indexed="81"/>
            <rFont val="Tahoma"/>
            <family val="2"/>
          </rPr>
          <t xml:space="preserve">
</t>
        </r>
      </text>
    </comment>
    <comment ref="E127" authorId="1">
      <text>
        <r>
          <rPr>
            <b/>
            <sz val="8"/>
            <color indexed="81"/>
            <rFont val="Arial"/>
            <family val="2"/>
          </rPr>
          <t>Não considerar os alunos retidos por excesso de faltas injustificadas</t>
        </r>
      </text>
    </comment>
    <comment ref="G127" authorId="1">
      <text>
        <r>
          <rPr>
            <b/>
            <sz val="8"/>
            <color indexed="81"/>
            <rFont val="Arial"/>
            <family val="2"/>
          </rPr>
          <t>Considerar os alunos que ficaram retidos por excesso de faltas, anularam a matrícula, excluíram por excesso de faltas e os que, apesar de inscritos, por motivo desconhecido / não comprovado, nunca compareceram às aulas - incluir alunos com idade superior a 18 anos.</t>
        </r>
      </text>
    </comment>
    <comment ref="I127"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List>
</comments>
</file>

<file path=xl/comments2.xml><?xml version="1.0" encoding="utf-8"?>
<comments xmlns="http://schemas.openxmlformats.org/spreadsheetml/2006/main">
  <authors>
    <author>pandre</author>
  </authors>
  <commentList>
    <comment ref="B7" authorId="0">
      <text>
        <r>
          <rPr>
            <b/>
            <sz val="9"/>
            <color indexed="81"/>
            <rFont val="Arial"/>
            <family val="2"/>
          </rPr>
          <t>Contabilizar todos os alunos inscritos (excepto os transferidos) em todos os ciclos, 1.º, 2.º e 3.º ciclos do ensino básico e ensino secundário.
Ficam excluídas as crianças que frequentam o pré-escolar e os jovens e adultos que frequentam o ensino de adultos, EFAS, recorrente, módulos capitalizáveis, CQEP.</t>
        </r>
      </text>
    </comment>
  </commentList>
</comments>
</file>

<file path=xl/comments3.xml><?xml version="1.0" encoding="utf-8"?>
<comments xmlns="http://schemas.openxmlformats.org/spreadsheetml/2006/main">
  <authors>
    <author>Paulo</author>
    <author>pandre</author>
    <author>Paulo André (DGE)</author>
  </authors>
  <commentList>
    <comment ref="H11" author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11" authorId="1">
      <text>
        <r>
          <rPr>
            <sz val="8"/>
            <color indexed="81"/>
            <rFont val="Tahoma"/>
            <family val="2"/>
          </rPr>
          <t xml:space="preserve">
Taxa de sucesso = (N.º total de alunos que a nível nacional obtiveram níveis 5, 4 e 3)/(N.º total de alunos que a nível nacional realizaram a prova)</t>
        </r>
      </text>
    </comment>
    <comment ref="J11" authorId="0">
      <text>
        <r>
          <rPr>
            <sz val="9"/>
            <color indexed="81"/>
            <rFont val="Tahoma"/>
            <family val="2"/>
          </rPr>
          <t xml:space="preserve">
Distância da taxa de sucesso para o valor nacional  = (Taxa de sucesso no agrup.) - (Taxa de sucesso a nível nacional)</t>
        </r>
      </text>
    </comment>
    <comment ref="K11" author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11" authorId="1">
      <text>
        <r>
          <rPr>
            <sz val="8"/>
            <color indexed="81"/>
            <rFont val="Tahoma"/>
            <family val="2"/>
          </rPr>
          <t xml:space="preserve">
Classificação média: Calcula-se como no caso do agrupamento utilizando o n.º total de alunos que a nível nacional obtiveram cada um dos níveis (de 5 a 1) </t>
        </r>
      </text>
    </comment>
    <comment ref="M11" authorId="0">
      <text>
        <r>
          <rPr>
            <sz val="9"/>
            <color indexed="81"/>
            <rFont val="Tahoma"/>
            <family val="2"/>
          </rPr>
          <t xml:space="preserve">
Distância da classificação média para o valor nacional  = (Class. média no agrup. ) - (Class. média a nível nacional)</t>
        </r>
      </text>
    </comment>
    <comment ref="I12" authorId="0">
      <text>
        <r>
          <rPr>
            <sz val="9"/>
            <color indexed="81"/>
            <rFont val="Tahoma"/>
            <family val="2"/>
          </rPr>
          <t xml:space="preserve">
Valor a ser fornecido pela DGE</t>
        </r>
      </text>
    </comment>
    <comment ref="L12" authorId="0">
      <text>
        <r>
          <rPr>
            <sz val="9"/>
            <color indexed="81"/>
            <rFont val="Tahoma"/>
            <family val="2"/>
          </rPr>
          <t xml:space="preserve">
Valor a ser fornecido pela DGE</t>
        </r>
      </text>
    </comment>
    <comment ref="F14" authorId="1">
      <text>
        <r>
          <rPr>
            <sz val="8"/>
            <color indexed="81"/>
            <rFont val="Tahoma"/>
            <family val="2"/>
          </rPr>
          <t xml:space="preserve">
Média dos últimos 4 anos letivos</t>
        </r>
      </text>
    </comment>
    <comment ref="H14" authorId="1">
      <text>
        <r>
          <rPr>
            <sz val="8"/>
            <color indexed="81"/>
            <rFont val="Tahoma"/>
            <family val="2"/>
          </rPr>
          <t xml:space="preserve">
a alcançar em 2015/16</t>
        </r>
      </text>
    </comment>
    <comment ref="H21" author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21" authorId="1">
      <text>
        <r>
          <rPr>
            <sz val="8"/>
            <color indexed="81"/>
            <rFont val="Tahoma"/>
            <family val="2"/>
          </rPr>
          <t xml:space="preserve">
Taxa de sucesso = (N.º total de alunos que a nível nacional obtiveram níveis 5, 4 e 3)/(N.º total de alunos que a nível nacional realizaram a prova)</t>
        </r>
      </text>
    </comment>
    <comment ref="J21" authorId="0">
      <text>
        <r>
          <rPr>
            <sz val="9"/>
            <color indexed="81"/>
            <rFont val="Tahoma"/>
            <family val="2"/>
          </rPr>
          <t xml:space="preserve">
Distância da taxa de sucesso para o valor nacional  = (Taxa de sucesso no agrup.) - (Taxa de sucesso a nível nacional)</t>
        </r>
      </text>
    </comment>
    <comment ref="K21" author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21" authorId="1">
      <text>
        <r>
          <rPr>
            <sz val="8"/>
            <color indexed="81"/>
            <rFont val="Tahoma"/>
            <family val="2"/>
          </rPr>
          <t xml:space="preserve">
Classificação média: Calcula-se como no caso do agrupamento utilizando o n.º total de alunos que a nível nacional obtiveram cada um dos níveis (de 5 a 1) </t>
        </r>
      </text>
    </comment>
    <comment ref="M21" authorId="0">
      <text>
        <r>
          <rPr>
            <sz val="9"/>
            <color indexed="81"/>
            <rFont val="Tahoma"/>
            <family val="2"/>
          </rPr>
          <t xml:space="preserve">
Distância da classificação média para o valor nacional  = (Class. média no agrup. ) - (Class. média a nível nacional)</t>
        </r>
      </text>
    </comment>
    <comment ref="I22" authorId="0">
      <text>
        <r>
          <rPr>
            <sz val="9"/>
            <color indexed="81"/>
            <rFont val="Tahoma"/>
            <family val="2"/>
          </rPr>
          <t xml:space="preserve">
Valor a ser fornecido pela DGE</t>
        </r>
      </text>
    </comment>
    <comment ref="L22" authorId="0">
      <text>
        <r>
          <rPr>
            <sz val="9"/>
            <color indexed="81"/>
            <rFont val="Tahoma"/>
            <family val="2"/>
          </rPr>
          <t xml:space="preserve">
Valor a ser fornecido pela DGE</t>
        </r>
      </text>
    </comment>
    <comment ref="F24" authorId="1">
      <text>
        <r>
          <rPr>
            <sz val="8"/>
            <color indexed="81"/>
            <rFont val="Tahoma"/>
            <family val="2"/>
          </rPr>
          <t xml:space="preserve">
Média dos últimos 4 anos letivos</t>
        </r>
      </text>
    </comment>
    <comment ref="H24" authorId="1">
      <text>
        <r>
          <rPr>
            <sz val="8"/>
            <color indexed="81"/>
            <rFont val="Tahoma"/>
            <family val="2"/>
          </rPr>
          <t xml:space="preserve">
a alcançar em 2015/16</t>
        </r>
      </text>
    </comment>
    <comment ref="C31" authorId="1">
      <text>
        <r>
          <rPr>
            <sz val="8"/>
            <color indexed="81"/>
            <rFont val="Tahoma"/>
            <family val="2"/>
          </rPr>
          <t xml:space="preserve">
&gt;= 10 valores (95 pontos)</t>
        </r>
      </text>
    </comment>
    <comment ref="D31" authorId="1">
      <text>
        <r>
          <rPr>
            <sz val="8"/>
            <color indexed="81"/>
            <rFont val="Tahoma"/>
            <family val="2"/>
          </rPr>
          <t xml:space="preserve">
&lt; 10 valores (95 pontos)</t>
        </r>
      </text>
    </comment>
    <comment ref="E31" author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31" authorId="1">
      <text>
        <r>
          <rPr>
            <sz val="8"/>
            <color indexed="81"/>
            <rFont val="Tahoma"/>
            <family val="2"/>
          </rPr>
          <t xml:space="preserve">
Taxa de sucesso = (N.º total de alunos que a nível nacional obtiveram classificação positiva)/(N.º total de alunos que a nível nacional realizaram a prova)</t>
        </r>
      </text>
    </comment>
    <comment ref="G31" authorId="0">
      <text>
        <r>
          <rPr>
            <sz val="9"/>
            <color indexed="81"/>
            <rFont val="Tahoma"/>
            <family val="2"/>
          </rPr>
          <t xml:space="preserve">
Distância da taxa de sucesso para o valor nacional  = (Taxa de sucesso no agrup.) - (Taxa de sucesso a nível nacional)</t>
        </r>
      </text>
    </comment>
    <comment ref="H31" authorId="0">
      <text>
        <r>
          <rPr>
            <sz val="9"/>
            <color indexed="81"/>
            <rFont val="Tahoma"/>
            <family val="2"/>
          </rPr>
          <t xml:space="preserve">
Classificação média = média(classificação alcançada por cada aluno)</t>
        </r>
      </text>
    </comment>
    <comment ref="I31" authorId="1">
      <text>
        <r>
          <rPr>
            <sz val="8"/>
            <color indexed="81"/>
            <rFont val="Tahoma"/>
            <family val="2"/>
          </rPr>
          <t xml:space="preserve">
Classificação média: Calcula-se como no caso do agrupamento utilizando o n.º total de alunos que a nível nacional realizaram a prova
</t>
        </r>
      </text>
    </comment>
    <comment ref="J31" authorId="0">
      <text>
        <r>
          <rPr>
            <sz val="9"/>
            <color indexed="81"/>
            <rFont val="Tahoma"/>
            <family val="2"/>
          </rPr>
          <t xml:space="preserve">
Distância da classificação média para o valor nacional  = (Class. média no agrup. ) - (Class. média a nível nacional)</t>
        </r>
      </text>
    </comment>
    <comment ref="F32" authorId="0">
      <text>
        <r>
          <rPr>
            <sz val="9"/>
            <color indexed="81"/>
            <rFont val="Tahoma"/>
            <family val="2"/>
          </rPr>
          <t xml:space="preserve">
Valor a ser fornecido pela DGE</t>
        </r>
      </text>
    </comment>
    <comment ref="I32" authorId="0">
      <text>
        <r>
          <rPr>
            <sz val="9"/>
            <color indexed="81"/>
            <rFont val="Tahoma"/>
            <family val="2"/>
          </rPr>
          <t xml:space="preserve">
Valor a ser fornecido pela DGE</t>
        </r>
      </text>
    </comment>
    <comment ref="F34" authorId="1">
      <text>
        <r>
          <rPr>
            <sz val="8"/>
            <color indexed="81"/>
            <rFont val="Tahoma"/>
            <family val="2"/>
          </rPr>
          <t xml:space="preserve">
Média dos últimos 4 anos letivos</t>
        </r>
      </text>
    </comment>
    <comment ref="H34" authorId="1">
      <text>
        <r>
          <rPr>
            <sz val="8"/>
            <color indexed="81"/>
            <rFont val="Tahoma"/>
            <family val="2"/>
          </rPr>
          <t xml:space="preserve">
a alcançar em 2015/16</t>
        </r>
      </text>
    </comment>
    <comment ref="C41" authorId="1">
      <text>
        <r>
          <rPr>
            <sz val="8"/>
            <color indexed="81"/>
            <rFont val="Tahoma"/>
            <family val="2"/>
          </rPr>
          <t xml:space="preserve">
&gt;= 10 valores (95 pontos)</t>
        </r>
      </text>
    </comment>
    <comment ref="D41" authorId="1">
      <text>
        <r>
          <rPr>
            <sz val="8"/>
            <color indexed="81"/>
            <rFont val="Tahoma"/>
            <family val="2"/>
          </rPr>
          <t xml:space="preserve">
&lt; 10 valores (95 pontos)</t>
        </r>
      </text>
    </comment>
    <comment ref="E41" author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41" authorId="1">
      <text>
        <r>
          <rPr>
            <sz val="8"/>
            <color indexed="81"/>
            <rFont val="Tahoma"/>
            <family val="2"/>
          </rPr>
          <t xml:space="preserve">
Taxa de sucesso = (N.º total de alunos que a nível nacional obtiveram classificação positiva)/(N.º total de alunos que a nível nacional realizaram a prova)</t>
        </r>
      </text>
    </comment>
    <comment ref="G41" authorId="0">
      <text>
        <r>
          <rPr>
            <sz val="9"/>
            <color indexed="81"/>
            <rFont val="Tahoma"/>
            <family val="2"/>
          </rPr>
          <t xml:space="preserve">
Distância da taxa de sucesso para o valor nacional  = (Taxa de sucesso no agrup.) - (Taxa de sucesso a nível nacional)</t>
        </r>
      </text>
    </comment>
    <comment ref="H41" authorId="0">
      <text>
        <r>
          <rPr>
            <sz val="9"/>
            <color indexed="81"/>
            <rFont val="Tahoma"/>
            <family val="2"/>
          </rPr>
          <t xml:space="preserve">
Classificação média = média(classificação alcançada por cada aluno)</t>
        </r>
      </text>
    </comment>
    <comment ref="I41" authorId="1">
      <text>
        <r>
          <rPr>
            <sz val="8"/>
            <color indexed="81"/>
            <rFont val="Tahoma"/>
            <family val="2"/>
          </rPr>
          <t xml:space="preserve">
Classificação média: Calcula-se como no caso do agrupamento utilizando o n.º total de alunos que a nível nacional realizaram a prova
</t>
        </r>
      </text>
    </comment>
    <comment ref="J41" authorId="0">
      <text>
        <r>
          <rPr>
            <sz val="9"/>
            <color indexed="81"/>
            <rFont val="Tahoma"/>
            <family val="2"/>
          </rPr>
          <t xml:space="preserve">
Distância da classificação média para o valor nacional  = (Class. média no agrup. ) - (Class. média a nível nacional)</t>
        </r>
      </text>
    </comment>
    <comment ref="F42" authorId="0">
      <text>
        <r>
          <rPr>
            <sz val="9"/>
            <color indexed="81"/>
            <rFont val="Tahoma"/>
            <family val="2"/>
          </rPr>
          <t xml:space="preserve">
Valor a ser fornecido pela DGE</t>
        </r>
      </text>
    </comment>
    <comment ref="I42" authorId="0">
      <text>
        <r>
          <rPr>
            <sz val="9"/>
            <color indexed="81"/>
            <rFont val="Tahoma"/>
            <family val="2"/>
          </rPr>
          <t xml:space="preserve">
Valor a ser fornecido pela DGE</t>
        </r>
      </text>
    </comment>
    <comment ref="F44" authorId="1">
      <text>
        <r>
          <rPr>
            <sz val="8"/>
            <color indexed="81"/>
            <rFont val="Tahoma"/>
            <family val="2"/>
          </rPr>
          <t xml:space="preserve">
Média dos últimos 4 anos letivos</t>
        </r>
      </text>
    </comment>
    <comment ref="H44" authorId="1">
      <text>
        <r>
          <rPr>
            <sz val="8"/>
            <color indexed="81"/>
            <rFont val="Tahoma"/>
            <family val="2"/>
          </rPr>
          <t xml:space="preserve">
a alcançar em 2015/16</t>
        </r>
      </text>
    </comment>
    <comment ref="E54" authorId="0">
      <text>
        <r>
          <rPr>
            <sz val="9"/>
            <color indexed="81"/>
            <rFont val="Tahoma"/>
            <family val="2"/>
          </rPr>
          <t xml:space="preserve">
Taxa de insucesso escolar = (N.º total de alunos retidos) / (N.º total de alunos inscritos no 1.º ciclo do EB Regular)</t>
        </r>
      </text>
    </comment>
    <comment ref="H54"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57" authorId="2">
      <text>
        <r>
          <rPr>
            <sz val="9"/>
            <color indexed="81"/>
            <rFont val="Tahoma"/>
            <family val="2"/>
          </rPr>
          <t xml:space="preserve">
Média dos últimos 4 anos letivos</t>
        </r>
      </text>
    </comment>
    <comment ref="H57" authorId="1">
      <text>
        <r>
          <rPr>
            <sz val="8"/>
            <color indexed="81"/>
            <rFont val="Tahoma"/>
            <family val="2"/>
          </rPr>
          <t xml:space="preserve">
a alcançar em 2015/16</t>
        </r>
      </text>
    </comment>
    <comment ref="E63" authorId="0">
      <text>
        <r>
          <rPr>
            <sz val="9"/>
            <color indexed="81"/>
            <rFont val="Tahoma"/>
            <family val="2"/>
          </rPr>
          <t xml:space="preserve">
Taxa de insucesso escolar = (N.º total de alunos retidos) / (N.º total de alunos inscritos no 2.º ciclo do EB Regular)</t>
        </r>
      </text>
    </comment>
    <comment ref="H63"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66" authorId="2">
      <text>
        <r>
          <rPr>
            <sz val="9"/>
            <color indexed="81"/>
            <rFont val="Tahoma"/>
            <family val="2"/>
          </rPr>
          <t xml:space="preserve">
Média dos últimos 4 anos letivos</t>
        </r>
      </text>
    </comment>
    <comment ref="H66" authorId="1">
      <text>
        <r>
          <rPr>
            <sz val="8"/>
            <color indexed="81"/>
            <rFont val="Tahoma"/>
            <family val="2"/>
          </rPr>
          <t xml:space="preserve">
a alcançar em 2015/16</t>
        </r>
      </text>
    </comment>
    <comment ref="E72" authorId="0">
      <text>
        <r>
          <rPr>
            <sz val="9"/>
            <color indexed="81"/>
            <rFont val="Tahoma"/>
            <family val="2"/>
          </rPr>
          <t xml:space="preserve">
Taxa de insucesso escolar = (N.º total de alunos retidos) / (N.º total de alunos inscritos no 3.º ciclo do EB Regular)</t>
        </r>
      </text>
    </comment>
    <comment ref="H72"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75" authorId="2">
      <text>
        <r>
          <rPr>
            <sz val="9"/>
            <color indexed="81"/>
            <rFont val="Tahoma"/>
            <family val="2"/>
          </rPr>
          <t xml:space="preserve">
Média dos últimos 4 anos letivos</t>
        </r>
      </text>
    </comment>
    <comment ref="H75" authorId="1">
      <text>
        <r>
          <rPr>
            <sz val="8"/>
            <color indexed="81"/>
            <rFont val="Tahoma"/>
            <family val="2"/>
          </rPr>
          <t xml:space="preserve">
a alcançar em 2015/16</t>
        </r>
      </text>
    </comment>
    <comment ref="E81" authorId="0">
      <text>
        <r>
          <rPr>
            <sz val="9"/>
            <color indexed="81"/>
            <rFont val="Tahoma"/>
            <family val="2"/>
          </rPr>
          <t xml:space="preserve">
Taxa de insucesso escolar = (N.º total de alunos retidos) / (N.º total de alunos inscritos no Ens. Secundário)</t>
        </r>
      </text>
    </comment>
    <comment ref="H81"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84" authorId="2">
      <text>
        <r>
          <rPr>
            <sz val="9"/>
            <color indexed="81"/>
            <rFont val="Tahoma"/>
            <family val="2"/>
          </rPr>
          <t xml:space="preserve">
Média dos últimos 4 anos letivos</t>
        </r>
      </text>
    </comment>
    <comment ref="H84" authorId="1">
      <text>
        <r>
          <rPr>
            <sz val="8"/>
            <color indexed="81"/>
            <rFont val="Tahoma"/>
            <family val="2"/>
          </rPr>
          <t xml:space="preserve">
a alcançar em 2015/16</t>
        </r>
      </text>
    </comment>
    <comment ref="H94" authorId="0">
      <text>
        <r>
          <rPr>
            <sz val="9"/>
            <color indexed="81"/>
            <rFont val="Tahoma"/>
            <family val="2"/>
          </rPr>
          <t xml:space="preserve">
TIPPE = IPPE / (N.º total de alunos inscritos)</t>
        </r>
      </text>
    </comment>
    <comment ref="G95" authorId="0">
      <text>
        <r>
          <rPr>
            <sz val="9"/>
            <color indexed="81"/>
            <rFont val="Tahoma"/>
            <family val="2"/>
          </rPr>
          <t xml:space="preserve">
IPPE = EF + AM + A</t>
        </r>
      </text>
    </comment>
    <comment ref="F98" authorId="1">
      <text>
        <r>
          <rPr>
            <sz val="8"/>
            <color indexed="81"/>
            <rFont val="Tahoma"/>
            <family val="2"/>
          </rPr>
          <t xml:space="preserve">
Média dos últimos 4 anos letivos</t>
        </r>
      </text>
    </comment>
    <comment ref="H98" authorId="1">
      <text>
        <r>
          <rPr>
            <sz val="8"/>
            <color indexed="81"/>
            <rFont val="Tahoma"/>
            <family val="2"/>
          </rPr>
          <t xml:space="preserve">
a alcançar em 2015/16</t>
        </r>
      </text>
    </comment>
    <comment ref="H103" authorId="0">
      <text>
        <r>
          <rPr>
            <sz val="9"/>
            <color indexed="81"/>
            <rFont val="Tahoma"/>
            <family val="2"/>
          </rPr>
          <t xml:space="preserve">
TIPPE = IPPE / (N.º total de alunos inscritos)</t>
        </r>
      </text>
    </comment>
    <comment ref="G104" authorId="0">
      <text>
        <r>
          <rPr>
            <sz val="9"/>
            <color indexed="81"/>
            <rFont val="Tahoma"/>
            <family val="2"/>
          </rPr>
          <t xml:space="preserve">
IPPE = EF + AM + A</t>
        </r>
      </text>
    </comment>
    <comment ref="F107" authorId="1">
      <text>
        <r>
          <rPr>
            <sz val="8"/>
            <color indexed="81"/>
            <rFont val="Tahoma"/>
            <family val="2"/>
          </rPr>
          <t xml:space="preserve">
Média dos últimos 4 anos letivos</t>
        </r>
      </text>
    </comment>
    <comment ref="H107" authorId="1">
      <text>
        <r>
          <rPr>
            <sz val="8"/>
            <color indexed="81"/>
            <rFont val="Tahoma"/>
            <family val="2"/>
          </rPr>
          <t xml:space="preserve">
a alcançar em 2015/16</t>
        </r>
      </text>
    </comment>
    <comment ref="H112" authorId="0">
      <text>
        <r>
          <rPr>
            <sz val="9"/>
            <color indexed="81"/>
            <rFont val="Tahoma"/>
            <family val="2"/>
          </rPr>
          <t xml:space="preserve">
TIPPE = IPPE / (N.º total de alunos inscritos)</t>
        </r>
      </text>
    </comment>
    <comment ref="G113" authorId="0">
      <text>
        <r>
          <rPr>
            <sz val="9"/>
            <color indexed="81"/>
            <rFont val="Tahoma"/>
            <family val="2"/>
          </rPr>
          <t xml:space="preserve">
IPPE = EF + AM + A</t>
        </r>
      </text>
    </comment>
    <comment ref="F116" authorId="1">
      <text>
        <r>
          <rPr>
            <sz val="8"/>
            <color indexed="81"/>
            <rFont val="Tahoma"/>
            <family val="2"/>
          </rPr>
          <t xml:space="preserve">
Média dos últimos 4 anos letivos</t>
        </r>
      </text>
    </comment>
    <comment ref="H116" authorId="1">
      <text>
        <r>
          <rPr>
            <sz val="8"/>
            <color indexed="81"/>
            <rFont val="Tahoma"/>
            <family val="2"/>
          </rPr>
          <t xml:space="preserve">
a alcançar em 2015/16</t>
        </r>
      </text>
    </comment>
    <comment ref="F124" authorId="0">
      <text>
        <r>
          <rPr>
            <sz val="9"/>
            <color indexed="81"/>
            <rFont val="Tahoma"/>
            <family val="2"/>
          </rPr>
          <t xml:space="preserve">
MD = MC + MDS</t>
        </r>
      </text>
    </comment>
    <comment ref="G124" authorId="0">
      <text>
        <r>
          <rPr>
            <sz val="9"/>
            <color indexed="81"/>
            <rFont val="Tahoma"/>
            <family val="2"/>
          </rPr>
          <t xml:space="preserve">
MDA = MD / (N.º total de alunos Inscritos)</t>
        </r>
      </text>
    </comment>
    <comment ref="F127" authorId="0">
      <text>
        <r>
          <rPr>
            <sz val="9"/>
            <color indexed="81"/>
            <rFont val="Tahoma"/>
            <family val="2"/>
          </rPr>
          <t xml:space="preserve">
Média dos últimos 4 anos letivos</t>
        </r>
      </text>
    </comment>
    <comment ref="H127" authorId="1">
      <text>
        <r>
          <rPr>
            <sz val="8"/>
            <color indexed="81"/>
            <rFont val="Tahoma"/>
            <family val="2"/>
          </rPr>
          <t xml:space="preserve">
a alcançar em 2015/16</t>
        </r>
      </text>
    </comment>
  </commentList>
</comments>
</file>

<file path=xl/sharedStrings.xml><?xml version="1.0" encoding="utf-8"?>
<sst xmlns="http://schemas.openxmlformats.org/spreadsheetml/2006/main" count="1160" uniqueCount="381">
  <si>
    <t>Ano de escolaridade</t>
  </si>
  <si>
    <t>5º ano</t>
  </si>
  <si>
    <t>6º ano</t>
  </si>
  <si>
    <t>7º ano</t>
  </si>
  <si>
    <t>8º ano</t>
  </si>
  <si>
    <t>9º ano</t>
  </si>
  <si>
    <t>1º ano</t>
  </si>
  <si>
    <t>2º ano</t>
  </si>
  <si>
    <t>3º ano</t>
  </si>
  <si>
    <t>4º ano</t>
  </si>
  <si>
    <t>Nº total de alunos avaliados</t>
  </si>
  <si>
    <t>Nome do Agrupamento/Escola Não Agrupada:</t>
  </si>
  <si>
    <t>1.</t>
  </si>
  <si>
    <t>3.</t>
  </si>
  <si>
    <t>4.</t>
  </si>
  <si>
    <t>5.</t>
  </si>
  <si>
    <t>6.</t>
  </si>
  <si>
    <t>Início</t>
  </si>
  <si>
    <t>Seguinte</t>
  </si>
  <si>
    <t>Anterior</t>
  </si>
  <si>
    <t>Questões:</t>
  </si>
  <si>
    <t>N.º</t>
  </si>
  <si>
    <t>%</t>
  </si>
  <si>
    <t>Matemática</t>
  </si>
  <si>
    <t>Faltas</t>
  </si>
  <si>
    <t>CEF</t>
  </si>
  <si>
    <t>PIEF</t>
  </si>
  <si>
    <t>Cursos Profissionais</t>
  </si>
  <si>
    <t>Cursos Científico-humanísticos</t>
  </si>
  <si>
    <t>Cursos Tecnológicos</t>
  </si>
  <si>
    <t>MDS</t>
  </si>
  <si>
    <t>Português</t>
  </si>
  <si>
    <t>Insucesso, Abandono e Absentismo</t>
  </si>
  <si>
    <t>Indisciplina</t>
  </si>
  <si>
    <t>4.     Indisciplina</t>
  </si>
  <si>
    <t>Níveis Positivos</t>
  </si>
  <si>
    <t>Total de Ocorrências</t>
  </si>
  <si>
    <t>Exame Nacional</t>
  </si>
  <si>
    <t>Total de Alunos Envolvidos em Ocorrências</t>
  </si>
  <si>
    <t>Ciclo de ensino:</t>
  </si>
  <si>
    <t>4.1.  N.º de Ocorrências, n.º de alunos envolvidos, MC e MDS</t>
  </si>
  <si>
    <t>Nome do(a) diretor(a) / presidente da CAP:</t>
  </si>
  <si>
    <t>Nome da escola sede do Agrupamento:</t>
  </si>
  <si>
    <t>Morada da escola sede do Agrupamento:</t>
  </si>
  <si>
    <t>N.º de telefone:</t>
  </si>
  <si>
    <t>Endereço de e-mail:</t>
  </si>
  <si>
    <t>Nome do(a) coordenador(a) TEIP:</t>
  </si>
  <si>
    <t>Atualização de dados</t>
  </si>
  <si>
    <t>Ano Letivo</t>
  </si>
  <si>
    <t>2.1</t>
  </si>
  <si>
    <t>2.2</t>
  </si>
  <si>
    <t>Níveis 5</t>
  </si>
  <si>
    <t>Níveis 4</t>
  </si>
  <si>
    <t>Níveis 3</t>
  </si>
  <si>
    <t>Níveis 2</t>
  </si>
  <si>
    <t>Níveis 1</t>
  </si>
  <si>
    <t>4.2.  Identifique o ciclo de ensino onde se verificou maior número de ocorrências disciplinares</t>
  </si>
  <si>
    <t>N.º total de medidas(*)</t>
  </si>
  <si>
    <t>Avaliação Interna - N.º de alunos que obtiveram classificação positiva a todas as disciplinas / áreas disciplinares</t>
  </si>
  <si>
    <t>2012/2013</t>
  </si>
  <si>
    <t>2012/13</t>
  </si>
  <si>
    <t>Domínio 1 -  Sucesso Escolar na Avaliação Externa</t>
  </si>
  <si>
    <t>Taxa de sucesso</t>
  </si>
  <si>
    <t>Ano letivo</t>
  </si>
  <si>
    <t>No Agrupamento</t>
  </si>
  <si>
    <t>A nível Nacional</t>
  </si>
  <si>
    <t>Diferença entre o valor alcançado no Agrupamento e a nível Nacional</t>
  </si>
  <si>
    <t>Valor de partida</t>
  </si>
  <si>
    <t>Submeta A</t>
  </si>
  <si>
    <t>Submeta B</t>
  </si>
  <si>
    <r>
      <t xml:space="preserve">N.º total de níveis </t>
    </r>
    <r>
      <rPr>
        <b/>
        <sz val="8"/>
        <color indexed="8"/>
        <rFont val="Calibri"/>
        <family val="2"/>
      </rPr>
      <t>(1)</t>
    </r>
  </si>
  <si>
    <r>
      <t xml:space="preserve">Classificação média </t>
    </r>
    <r>
      <rPr>
        <b/>
        <sz val="8"/>
        <color indexed="8"/>
        <rFont val="Calibri"/>
        <family val="2"/>
      </rPr>
      <t>(1)</t>
    </r>
  </si>
  <si>
    <t>(1)Considerar apenas os alunos inscritos na condição de internos e que realizaram a prova na 1.ª chamada</t>
  </si>
  <si>
    <r>
      <t xml:space="preserve">N.º total de </t>
    </r>
    <r>
      <rPr>
        <b/>
        <sz val="8"/>
        <color indexed="8"/>
        <rFont val="Calibri"/>
        <family val="2"/>
      </rPr>
      <t>(1)</t>
    </r>
  </si>
  <si>
    <t>Classificações positivas</t>
  </si>
  <si>
    <t>Classificações negativas</t>
  </si>
  <si>
    <t>(1)Considerar apenas os alunos inscritos na condição de internos e que realizaram a prova para aprovação</t>
  </si>
  <si>
    <t>Domínio 2 - Sucesso Escolar na Avaliação Interna</t>
  </si>
  <si>
    <t>1.º Ciclo do Ensino Básico</t>
  </si>
  <si>
    <r>
      <t xml:space="preserve">N.º total de alunos retidos </t>
    </r>
    <r>
      <rPr>
        <b/>
        <sz val="8"/>
        <color indexed="8"/>
        <rFont val="Calibri"/>
        <family val="2"/>
      </rPr>
      <t>(2)</t>
    </r>
  </si>
  <si>
    <t>Taxa de insucesso escolar</t>
  </si>
  <si>
    <r>
      <t>N.º total de alunos avaliados no final do 3.º período</t>
    </r>
    <r>
      <rPr>
        <b/>
        <sz val="8"/>
        <color indexed="8"/>
        <rFont val="Calibri"/>
        <family val="2"/>
      </rPr>
      <t>(3)</t>
    </r>
  </si>
  <si>
    <r>
      <t xml:space="preserve">N.º de alunos com classificação positiva a todas as disciplinas </t>
    </r>
    <r>
      <rPr>
        <b/>
        <sz val="8"/>
        <color indexed="8"/>
        <rFont val="Calibri"/>
        <family val="2"/>
      </rPr>
      <t>(3)</t>
    </r>
  </si>
  <si>
    <t>Percentagem de alunos com class. positiva a todas as disciplinas</t>
  </si>
  <si>
    <t>2.º Ciclo do Ensino Básico</t>
  </si>
  <si>
    <t>3.º Ciclo do Ensino Básico</t>
  </si>
  <si>
    <t>Ensino Secundário - Cursos Científico-humanísticos</t>
  </si>
  <si>
    <r>
      <t xml:space="preserve">N.º total de alunos inscritos </t>
    </r>
    <r>
      <rPr>
        <b/>
        <sz val="8"/>
        <color indexed="8"/>
        <rFont val="Calibri"/>
        <family val="2"/>
      </rPr>
      <t>(1)</t>
    </r>
  </si>
  <si>
    <t>Domínio 3 - Interrupção precoce do percurso escolar</t>
  </si>
  <si>
    <t>Taxa de interrupção precoce do percurso escolar (TIPPE)</t>
  </si>
  <si>
    <r>
      <t xml:space="preserve">Inscritos </t>
    </r>
    <r>
      <rPr>
        <b/>
        <sz val="8"/>
        <color indexed="8"/>
        <rFont val="Calibri"/>
        <family val="2"/>
      </rPr>
      <t>(1)</t>
    </r>
  </si>
  <si>
    <t>Retidos/ Excluídos por excesso de faltas (EF)</t>
  </si>
  <si>
    <t>Anulações de Matrícula (AM)</t>
  </si>
  <si>
    <t>Que abandonaram no decurso do ano (A)</t>
  </si>
  <si>
    <t>Que interromperam precocemente o percurso escolar (IPPE)</t>
  </si>
  <si>
    <t>Ensino Secundário</t>
  </si>
  <si>
    <t>Domínio 4 - Indisciplina</t>
  </si>
  <si>
    <r>
      <t>N.º total de alunos Inscritos</t>
    </r>
    <r>
      <rPr>
        <b/>
        <sz val="8"/>
        <color indexed="8"/>
        <rFont val="Calibri"/>
        <family val="2"/>
      </rPr>
      <t xml:space="preserve"> (1)</t>
    </r>
  </si>
  <si>
    <t>N.º total de Medidas Corretivas (MC)</t>
  </si>
  <si>
    <t>N.º total de Medidas Disciplinares Sancionatórias (MDS)</t>
  </si>
  <si>
    <t>N.º total Medidas Disciplinares (MD)</t>
  </si>
  <si>
    <t>Medidas disciplinares por aluno (MDA)</t>
  </si>
  <si>
    <t>N.º de Fax:</t>
  </si>
  <si>
    <t>Localidade:</t>
  </si>
  <si>
    <t>Código Postal:</t>
  </si>
  <si>
    <t>Nome do Agrupamento / Escola não agrupada:</t>
  </si>
  <si>
    <t>Nome da(s) unidade(s) orgânica(s) com que agregou:</t>
  </si>
  <si>
    <t>Caso o Agrupamento / Escola não agrupada TEIP tenha agregado com outras unidades orgânicas, indique:</t>
  </si>
  <si>
    <t>Código DGAE:</t>
  </si>
  <si>
    <t>(do agrupamento / escola não agrupada)</t>
  </si>
  <si>
    <t>Código GEPE:</t>
  </si>
  <si>
    <t>(da escola sede do agrupamento)</t>
  </si>
  <si>
    <t>Submetas contratualizadas</t>
  </si>
  <si>
    <t>Meta contratualizada</t>
  </si>
  <si>
    <t>Valor de chegada alcançado</t>
  </si>
  <si>
    <t>Cumprimento da submeta</t>
  </si>
  <si>
    <t>Para obter sucesso neste ciclo de ensino é necessário cumprir as submetas A ou B</t>
  </si>
  <si>
    <t>Cumprimento da meta</t>
  </si>
  <si>
    <t/>
  </si>
  <si>
    <t>Agrupamento de Escolas Maximinos</t>
  </si>
  <si>
    <t>3º Ciclo</t>
  </si>
  <si>
    <t>Observações</t>
  </si>
  <si>
    <t>Índice</t>
  </si>
  <si>
    <t>Código GEPE</t>
  </si>
  <si>
    <t>Cursos Vocacionais</t>
  </si>
  <si>
    <t>2013/2014</t>
  </si>
  <si>
    <t>1.2. 2.º Ciclo do Ensino Básico</t>
  </si>
  <si>
    <t>1.3. 3.º Ciclo do Ensino Básico</t>
  </si>
  <si>
    <t>1.4. Ensino Secundário</t>
  </si>
  <si>
    <t>2013/14</t>
  </si>
  <si>
    <r>
      <t xml:space="preserve">3.     Avaliação Externa </t>
    </r>
    <r>
      <rPr>
        <b/>
        <sz val="9"/>
        <rFont val="Arial"/>
        <family val="2"/>
      </rPr>
      <t>(considerar apenas os resultados da 1.ª chamada dos alunos que realizaram as provas/exames na qualidade de internos e para aprovação)</t>
    </r>
  </si>
  <si>
    <t>Negativas</t>
  </si>
  <si>
    <t>Positivas</t>
  </si>
  <si>
    <t>% de alunos envolvidos em ocorrências</t>
  </si>
  <si>
    <t>N.º de ocorrências por aluno</t>
  </si>
  <si>
    <t>MD = MC + MDS</t>
  </si>
  <si>
    <t>% de MDS</t>
  </si>
  <si>
    <t>N.º de medidas disciplinares por aluno</t>
  </si>
  <si>
    <t>O valor de chegada deve ser maior ou igual a -5%</t>
  </si>
  <si>
    <t>O valor de chegada deve ser maior ou igual a -0,05</t>
  </si>
  <si>
    <t>Melhorar pelo menos 5 p.p. face ao histórico</t>
  </si>
  <si>
    <t>O valor de chegada deve ser maior ou igual a -0,25</t>
  </si>
  <si>
    <t>Melhorar pelo menos 0,5 face ao histórico</t>
  </si>
  <si>
    <t>Melhorar pelo menos 4 p.p. face ao histórico</t>
  </si>
  <si>
    <t>Melhorar pelo menos 25% face ao histórico</t>
  </si>
  <si>
    <t>O valor de chegada deve ser menor ou igual a 0,8%</t>
  </si>
  <si>
    <t>Custo por participante</t>
  </si>
  <si>
    <t>Público-alvo</t>
  </si>
  <si>
    <t>a)</t>
  </si>
  <si>
    <t>b)</t>
  </si>
  <si>
    <t>2012/13(**)</t>
  </si>
  <si>
    <r>
      <t xml:space="preserve">&gt; … após 31 de agosto de 2012 - considerar apenas os dados do </t>
    </r>
    <r>
      <rPr>
        <b/>
        <sz val="7"/>
        <rFont val="Arial"/>
        <family val="2"/>
      </rPr>
      <t>agrupamento / escola não agrupada</t>
    </r>
    <r>
      <rPr>
        <sz val="7"/>
        <rFont val="Arial"/>
        <family val="2"/>
      </rPr>
      <t xml:space="preserve"> que aderiu ao Programa </t>
    </r>
    <r>
      <rPr>
        <b/>
        <sz val="7"/>
        <rFont val="Arial"/>
        <family val="2"/>
      </rPr>
      <t>TEIP</t>
    </r>
    <r>
      <rPr>
        <sz val="7"/>
        <rFont val="Arial"/>
        <family val="2"/>
      </rPr>
      <t xml:space="preserve"> antes da agregação</t>
    </r>
  </si>
  <si>
    <r>
      <t xml:space="preserve">&gt; … até 31 de agosto de 2012 - considerar os </t>
    </r>
    <r>
      <rPr>
        <b/>
        <sz val="7"/>
        <rFont val="Arial"/>
        <family val="2"/>
      </rPr>
      <t>dados agregados</t>
    </r>
    <r>
      <rPr>
        <sz val="7"/>
        <rFont val="Arial"/>
        <family val="2"/>
      </rPr>
      <t xml:space="preserve"> de </t>
    </r>
    <r>
      <rPr>
        <b/>
        <sz val="7"/>
        <rFont val="Arial"/>
        <family val="2"/>
      </rPr>
      <t>todas as escolas</t>
    </r>
    <r>
      <rPr>
        <sz val="7"/>
        <rFont val="Arial"/>
        <family val="2"/>
      </rPr>
      <t xml:space="preserve"> que fazem parte do novo agrupamento</t>
    </r>
  </si>
  <si>
    <t>Devem inserir os dados quantitativos referentes ao último ano letivo, 2012/13, e confirmar os dos anos anteriores (em particular os referentes ao ano letivo 2011/12).</t>
  </si>
  <si>
    <t>(2) Considerar apenas as que constam da alínea b) e seguintes do ponto 2 do Artigo 26.º da Lei n.º 51/2012, de 5 de setembro - Estatuto do Aluno e Ética Escolar</t>
  </si>
  <si>
    <t>MC (1)</t>
  </si>
  <si>
    <r>
      <t>Nota 1 - Considerar os dados agregados de todas as escolas que compõem o atual agrupamento e</t>
    </r>
    <r>
      <rPr>
        <b/>
        <sz val="7"/>
        <color indexed="10"/>
        <rFont val="Arial"/>
        <family val="2"/>
      </rPr>
      <t xml:space="preserve"> confirmar os dos anos anteriores (em particular os referentes ao ano letivo 2012/13)</t>
    </r>
    <r>
      <rPr>
        <b/>
        <sz val="7"/>
        <rFont val="Arial"/>
        <family val="2"/>
      </rPr>
      <t>.</t>
    </r>
  </si>
  <si>
    <t>Nota 1 - Escolas que agregaram ...:</t>
  </si>
  <si>
    <t>Nota 2 - Escolas que aderiram ao Programa TEIP em data anterior ao início do ano letivo 2012/13</t>
  </si>
  <si>
    <t>Endereço de e-mail 1:</t>
  </si>
  <si>
    <t>Endereço de e-mail 2 (alternativo):</t>
  </si>
  <si>
    <t>Total de alunos inscritos (exceto os transferidos)</t>
  </si>
  <si>
    <t>Nome do(a) Presidente do Conselho Geral:</t>
  </si>
  <si>
    <t>2014/2015</t>
  </si>
  <si>
    <t>2014/15</t>
  </si>
  <si>
    <r>
      <t xml:space="preserve">Notas referentes aos dados de natureza quantitativa referentes ao ano letivo </t>
    </r>
    <r>
      <rPr>
        <b/>
        <sz val="8"/>
        <color indexed="10"/>
        <rFont val="Arial"/>
        <family val="2"/>
      </rPr>
      <t>2013/14</t>
    </r>
    <r>
      <rPr>
        <b/>
        <sz val="8"/>
        <rFont val="Arial"/>
        <family val="2"/>
      </rPr>
      <t xml:space="preserve"> - questões 1 a 4</t>
    </r>
  </si>
  <si>
    <r>
      <t xml:space="preserve">Notas referentes aos dados de natureza quantitativa referentes ao ano letivo </t>
    </r>
    <r>
      <rPr>
        <b/>
        <sz val="8"/>
        <color indexed="10"/>
        <rFont val="Arial"/>
        <family val="2"/>
      </rPr>
      <t>2012/13</t>
    </r>
    <r>
      <rPr>
        <b/>
        <sz val="8"/>
        <rFont val="Arial"/>
        <family val="2"/>
      </rPr>
      <t xml:space="preserve"> - questões 1 a 4</t>
    </r>
  </si>
  <si>
    <t>2013/14(**)</t>
  </si>
  <si>
    <t>2011/2012</t>
  </si>
  <si>
    <t>2011/12</t>
  </si>
  <si>
    <r>
      <rPr>
        <b/>
        <sz val="9"/>
        <rFont val="Arial"/>
        <family val="2"/>
      </rPr>
      <t>Alunos com níveis positivos</t>
    </r>
  </si>
  <si>
    <t>2011/12(**)</t>
  </si>
  <si>
    <t>Português - Prova 91</t>
  </si>
  <si>
    <t>Matemática - Prova 92</t>
  </si>
  <si>
    <t>Português 
Prova 239/639</t>
  </si>
  <si>
    <t>Matemática A 
 Prova 635</t>
  </si>
  <si>
    <t>História A 
Prova 623</t>
  </si>
  <si>
    <t>Desenho A 
Prova 706</t>
  </si>
  <si>
    <t>Entidade dinamizadora</t>
  </si>
  <si>
    <t>Avaliação externa</t>
  </si>
  <si>
    <t>Braga</t>
  </si>
  <si>
    <t>253616546</t>
  </si>
  <si>
    <t>253606545</t>
  </si>
  <si>
    <t>Escola Secundária de Maximinos</t>
  </si>
  <si>
    <t>Av. Colégio dos Órfãos de S. Caetano, Maximinos</t>
  </si>
  <si>
    <t>4700-235</t>
  </si>
  <si>
    <t>António Domingos da Silva Pereira</t>
  </si>
  <si>
    <t>antoniopereira@esmax.pt</t>
  </si>
  <si>
    <t>Virgílio Rego da Silva</t>
  </si>
  <si>
    <t>virgiliosilva@aemaximinos.net; vregosilva@gmail.com</t>
  </si>
  <si>
    <t>Carlos Manuel Araújo Gonçalves</t>
  </si>
  <si>
    <t>2.º Ciclo</t>
  </si>
  <si>
    <t>3.º Ciclo</t>
  </si>
  <si>
    <r>
      <t>1.</t>
    </r>
    <r>
      <rPr>
        <b/>
        <sz val="7"/>
        <rFont val="Arial"/>
        <family val="2"/>
      </rPr>
      <t xml:space="preserve">      </t>
    </r>
    <r>
      <rPr>
        <b/>
        <sz val="11"/>
        <rFont val="Arial"/>
        <family val="2"/>
      </rPr>
      <t>Insucesso, Abandono e Absentismo</t>
    </r>
  </si>
  <si>
    <t>Matemática A - 12.º Ano (Prova 635)</t>
  </si>
  <si>
    <t>Valor de chegada previsto</t>
  </si>
  <si>
    <t>O valor de chegada deve ser menor ou igual a 7,5%</t>
  </si>
  <si>
    <r>
      <rPr>
        <b/>
        <sz val="8"/>
        <rFont val="Arial"/>
        <family val="2"/>
      </rPr>
      <t>Nota:</t>
    </r>
    <r>
      <rPr>
        <sz val="8"/>
        <rFont val="Arial"/>
        <family val="2"/>
      </rPr>
      <t xml:space="preserve"> Os dados são globais (</t>
    </r>
    <r>
      <rPr>
        <b/>
        <sz val="8"/>
        <rFont val="Arial"/>
        <family val="2"/>
      </rPr>
      <t>por favor</t>
    </r>
    <r>
      <rPr>
        <sz val="8"/>
        <rFont val="Arial"/>
        <family val="2"/>
      </rPr>
      <t xml:space="preserve"> </t>
    </r>
    <r>
      <rPr>
        <b/>
        <sz val="8"/>
        <rFont val="Arial"/>
        <family val="2"/>
      </rPr>
      <t>não proceda à discriminação por estabelecimento de ensino</t>
    </r>
    <r>
      <rPr>
        <sz val="8"/>
        <rFont val="Arial"/>
        <family val="2"/>
      </rPr>
      <t>) estão agrupados por ciclo e por curso/modalidade</t>
    </r>
  </si>
  <si>
    <t>Por favor corrigir e/ou adicionar dados em falta relativos a anos letivos anteriores.</t>
  </si>
  <si>
    <r>
      <rPr>
        <b/>
        <sz val="8"/>
        <rFont val="Arial"/>
        <family val="2"/>
      </rPr>
      <t>(*) ATENÇÃO</t>
    </r>
    <r>
      <rPr>
        <sz val="8"/>
        <rFont val="Arial"/>
        <family val="2"/>
      </rPr>
      <t xml:space="preserve">: Pretende-se recolher o n.º de medidas e não o n.º de alunos alvo dessas medidas
</t>
    </r>
    <r>
      <rPr>
        <b/>
        <sz val="8"/>
        <rFont val="Arial"/>
        <family val="2"/>
      </rPr>
      <t>(**)</t>
    </r>
    <r>
      <rPr>
        <sz val="8"/>
        <rFont val="Arial"/>
        <family val="2"/>
      </rPr>
      <t xml:space="preserve"> De acordo com os dados que constam no relatório final TEIP de 2013/14
</t>
    </r>
    <r>
      <rPr>
        <b/>
        <sz val="8"/>
        <rFont val="Arial"/>
        <family val="2"/>
      </rPr>
      <t>(1)</t>
    </r>
    <r>
      <rPr>
        <sz val="8"/>
        <rFont val="Arial"/>
        <family val="2"/>
      </rPr>
      <t xml:space="preserve"> Contabilizar todos os alunos inscritos (excepto os transferidos) em todos os ciclos, 1.º, 2.º e 3.º ciclos do ensino básico e ensino secundário. Ficam excluídas as crianças que frequentam a educação pré-escolar e os jovens e adultos que frequentam o ensino de adultos (EFA, ensino recorrente e módulos capitalizáveis).
</t>
    </r>
    <r>
      <rPr>
        <b/>
        <sz val="8"/>
        <rFont val="Arial"/>
        <family val="2"/>
      </rPr>
      <t>(2)</t>
    </r>
    <r>
      <rPr>
        <sz val="8"/>
        <rFont val="Arial"/>
        <family val="2"/>
      </rPr>
      <t xml:space="preserve"> Considerar apenas as que constam da alínea b) e seguintes do ponto 2 do Artigo 26.º da Lei n.º 51/2012, de 5 de setembro - Estatuto do Aluno e Ética Escolar</t>
    </r>
  </si>
  <si>
    <t>Plano de melhoria para 2015/16</t>
  </si>
  <si>
    <t>2015/2016</t>
  </si>
  <si>
    <t>Avaliação Interna a Português e Matemática</t>
  </si>
  <si>
    <t>2015/16</t>
  </si>
  <si>
    <t>2015 / 16</t>
  </si>
  <si>
    <t>Em 2015/16, a classificação alcançada no Domínio 4 foi:</t>
  </si>
  <si>
    <t>1 ano</t>
  </si>
  <si>
    <t xml:space="preserve">2 ou mais anos </t>
  </si>
  <si>
    <t xml:space="preserve">Total </t>
  </si>
  <si>
    <t>Número de alunos inscritos pela 1.ª vez no 1.º ano</t>
  </si>
  <si>
    <t>PCA</t>
  </si>
  <si>
    <r>
      <t>2011/2012</t>
    </r>
    <r>
      <rPr>
        <b/>
        <vertAlign val="superscript"/>
        <sz val="9"/>
        <rFont val="Arial"/>
        <family val="2"/>
      </rPr>
      <t>2</t>
    </r>
  </si>
  <si>
    <r>
      <t>2012/2013</t>
    </r>
    <r>
      <rPr>
        <b/>
        <vertAlign val="superscript"/>
        <sz val="9"/>
        <rFont val="Arial"/>
        <family val="2"/>
      </rPr>
      <t>2</t>
    </r>
  </si>
  <si>
    <r>
      <t>2013/2014</t>
    </r>
    <r>
      <rPr>
        <b/>
        <vertAlign val="superscript"/>
        <sz val="9"/>
        <rFont val="Arial"/>
        <family val="2"/>
      </rPr>
      <t>2</t>
    </r>
  </si>
  <si>
    <r>
      <t>2014/2015</t>
    </r>
    <r>
      <rPr>
        <b/>
        <vertAlign val="superscript"/>
        <sz val="9"/>
        <rFont val="Arial"/>
        <family val="2"/>
      </rPr>
      <t>2</t>
    </r>
  </si>
  <si>
    <t>Ensino Básico Geral</t>
  </si>
  <si>
    <r>
      <t>Português</t>
    </r>
    <r>
      <rPr>
        <b/>
        <vertAlign val="superscript"/>
        <sz val="10"/>
        <rFont val="Arial"/>
        <family val="2"/>
      </rPr>
      <t>1</t>
    </r>
  </si>
  <si>
    <t>Por favor comente, de forma resumida, os valores apresentados:</t>
  </si>
  <si>
    <r>
      <t>10º ano</t>
    </r>
    <r>
      <rPr>
        <b/>
        <vertAlign val="superscript"/>
        <sz val="10"/>
        <rFont val="Arial"/>
        <family val="2"/>
      </rPr>
      <t>3</t>
    </r>
  </si>
  <si>
    <r>
      <t>11º ano</t>
    </r>
    <r>
      <rPr>
        <b/>
        <vertAlign val="superscript"/>
        <sz val="10"/>
        <rFont val="Arial"/>
        <family val="2"/>
      </rPr>
      <t>3</t>
    </r>
  </si>
  <si>
    <r>
      <t>12º ano</t>
    </r>
    <r>
      <rPr>
        <b/>
        <vertAlign val="superscript"/>
        <sz val="10"/>
        <rFont val="Arial"/>
        <family val="2"/>
      </rPr>
      <t>3</t>
    </r>
  </si>
  <si>
    <r>
      <t xml:space="preserve">Nº total de alunos avaliados </t>
    </r>
    <r>
      <rPr>
        <b/>
        <vertAlign val="superscript"/>
        <sz val="10"/>
        <rFont val="Arial"/>
        <family val="2"/>
      </rPr>
      <t>4</t>
    </r>
    <r>
      <rPr>
        <sz val="9"/>
        <rFont val="Arial"/>
        <family val="2"/>
      </rPr>
      <t xml:space="preserve"> </t>
    </r>
  </si>
  <si>
    <r>
      <t xml:space="preserve">10º ano </t>
    </r>
    <r>
      <rPr>
        <b/>
        <vertAlign val="superscript"/>
        <sz val="10"/>
        <rFont val="Arial"/>
        <family val="2"/>
      </rPr>
      <t>5</t>
    </r>
  </si>
  <si>
    <r>
      <t xml:space="preserve">11º ano </t>
    </r>
    <r>
      <rPr>
        <b/>
        <vertAlign val="superscript"/>
        <sz val="10"/>
        <rFont val="Arial"/>
        <family val="2"/>
      </rPr>
      <t>5</t>
    </r>
  </si>
  <si>
    <r>
      <t xml:space="preserve">12º ano </t>
    </r>
    <r>
      <rPr>
        <b/>
        <vertAlign val="superscript"/>
        <sz val="10"/>
        <rFont val="Arial"/>
        <family val="2"/>
      </rPr>
      <t>5</t>
    </r>
  </si>
  <si>
    <t>A1</t>
  </si>
  <si>
    <t>A2</t>
  </si>
  <si>
    <t>B1</t>
  </si>
  <si>
    <t xml:space="preserve">Avaliados </t>
  </si>
  <si>
    <t>2.1 - Avaliação Interna - Português e Matemática</t>
  </si>
  <si>
    <t>2.2 - Avaliação Interna - Português Língua Não Materna</t>
  </si>
  <si>
    <t>Em 2015/16, a classificação alcançada no Domínio 1 foi:</t>
  </si>
  <si>
    <t>Em 2015/16, a classificação alcançada no Domínio 2 foi:</t>
  </si>
  <si>
    <t>Em 2015/16, a classificação alcançada no Domínio 3 foi:</t>
  </si>
  <si>
    <t>Total</t>
  </si>
  <si>
    <t xml:space="preserve">Domínio A – Gestão de Sala de aula </t>
  </si>
  <si>
    <r>
      <rPr>
        <b/>
        <sz val="8"/>
        <rFont val="Calibri"/>
        <family val="2"/>
      </rPr>
      <t>Designação / Descrição da Ação</t>
    </r>
    <r>
      <rPr>
        <b/>
        <sz val="11"/>
        <rFont val="Calibri"/>
        <family val="2"/>
      </rPr>
      <t xml:space="preserve">
</t>
    </r>
    <r>
      <rPr>
        <b/>
        <sz val="6"/>
        <rFont val="Calibri"/>
        <family val="2"/>
      </rPr>
      <t>(máximo de 200 carateres)</t>
    </r>
  </si>
  <si>
    <t>Modalidade
(por favor, responda a ambas as alíneas)</t>
  </si>
  <si>
    <t>Custo por participante (em €)</t>
  </si>
  <si>
    <t>Data de início</t>
  </si>
  <si>
    <t>N.º de sessões previstas</t>
  </si>
  <si>
    <t>N.º total de horas previstas</t>
  </si>
  <si>
    <t>N.º de participantes da UO</t>
  </si>
  <si>
    <r>
      <t xml:space="preserve">Grupo(s) de recrutamento
</t>
    </r>
    <r>
      <rPr>
        <b/>
        <sz val="6"/>
        <rFont val="Calibri"/>
        <family val="2"/>
      </rPr>
      <t>(caso se aplique, separar os diferentes grupos por ponto-e-vírgula)</t>
    </r>
  </si>
  <si>
    <t>Que uso(s) preveem que os participantes deem aos conhecimentos adquiridos e práticas experienciadas no decurso da ação?</t>
  </si>
  <si>
    <t>Como e quando preveem monitorizar / avaliar o uso dado pelos participantes aos conhecimentos adquiridos e práticas experienciadas no decurso da ação?</t>
  </si>
  <si>
    <t>Domínio B – Articulação e Supervisão pedagógica</t>
  </si>
  <si>
    <t>Domínio C – Monitorização e Avaliação</t>
  </si>
  <si>
    <t>Domínio D – Metodologias Mais Sucesso</t>
  </si>
  <si>
    <t>6.Quais as ações de capacitação que estão a prever desenvolver no decurso do ano letivo 2016/17?</t>
  </si>
  <si>
    <t>PERITO EXTERNO</t>
  </si>
  <si>
    <t>2016/ 2017</t>
  </si>
  <si>
    <t xml:space="preserve">1.Em 2016/17 pretendem manter o mesmo perito/a externo/a? </t>
  </si>
  <si>
    <t>b) da promoção da reflexão em torno das práticas adotadas para prevenir a indisciplina, a retenção e o abandono?</t>
  </si>
  <si>
    <t>Plano de ação para 2016 / 17</t>
  </si>
  <si>
    <r>
      <t>Nº total de alunos avaliados</t>
    </r>
    <r>
      <rPr>
        <vertAlign val="superscript"/>
        <sz val="9"/>
        <rFont val="Arial"/>
        <family val="2"/>
      </rPr>
      <t xml:space="preserve"> 1</t>
    </r>
  </si>
  <si>
    <t>PCA (turma de transição do 1.º para o 2.º ciclo)</t>
  </si>
  <si>
    <r>
      <t>Número de alunos</t>
    </r>
    <r>
      <rPr>
        <b/>
        <vertAlign val="superscript"/>
        <sz val="10"/>
        <rFont val="Arial"/>
        <family val="2"/>
      </rPr>
      <t>1</t>
    </r>
  </si>
  <si>
    <r>
      <t>Inscritos</t>
    </r>
    <r>
      <rPr>
        <b/>
        <vertAlign val="superscript"/>
        <sz val="10"/>
        <rFont val="Arial"/>
        <family val="2"/>
      </rPr>
      <t>3</t>
    </r>
    <r>
      <rPr>
        <b/>
        <sz val="8"/>
        <rFont val="Arial"/>
        <family val="2"/>
      </rPr>
      <t xml:space="preserve">
</t>
    </r>
    <r>
      <rPr>
        <b/>
        <sz val="6"/>
        <rFont val="Arial"/>
        <family val="2"/>
      </rPr>
      <t>(exceto os transferidos)</t>
    </r>
  </si>
  <si>
    <r>
      <t>Retidos por Insucesso</t>
    </r>
    <r>
      <rPr>
        <b/>
        <vertAlign val="superscript"/>
        <sz val="10"/>
        <rFont val="Arial"/>
        <family val="2"/>
      </rPr>
      <t>4</t>
    </r>
  </si>
  <si>
    <r>
      <t>Absentismo</t>
    </r>
    <r>
      <rPr>
        <b/>
        <vertAlign val="superscript"/>
        <sz val="10"/>
        <rFont val="Arial"/>
        <family val="2"/>
      </rPr>
      <t>6</t>
    </r>
  </si>
  <si>
    <t>1.1.  Alunos inscritos pela 1.ª vez no 1.º ano</t>
  </si>
  <si>
    <t>… estrangeiros</t>
  </si>
  <si>
    <t>… de forma condicional</t>
  </si>
  <si>
    <t xml:space="preserve">… que no ano letivo anterior estiveram inscritos noutra entidade não pertencente ao agrupamento  </t>
  </si>
  <si>
    <t>Sem frequencia do pré-escolar</t>
  </si>
  <si>
    <t>Com frequencia do pré-escolar</t>
  </si>
  <si>
    <t>Número de alunos inscritos pela 1.ª vez no 1.º ano …</t>
  </si>
  <si>
    <r>
      <t>Outras situações</t>
    </r>
    <r>
      <rPr>
        <b/>
        <vertAlign val="superscript"/>
        <sz val="10"/>
        <rFont val="Arial"/>
        <family val="2"/>
      </rPr>
      <t>7</t>
    </r>
  </si>
  <si>
    <t>Atualização de dados - Por favor, preencher apenas os campos que carecem de alteração.</t>
  </si>
  <si>
    <t>1.2. 1.º Ciclo do Ensino Básico</t>
  </si>
  <si>
    <r>
      <t>Risco de Abandono</t>
    </r>
    <r>
      <rPr>
        <b/>
        <vertAlign val="superscript"/>
        <sz val="10"/>
        <rFont val="Arial"/>
        <family val="2"/>
      </rPr>
      <t>5</t>
    </r>
  </si>
  <si>
    <t>Total 2015/2016</t>
  </si>
  <si>
    <t>C1</t>
  </si>
  <si>
    <t>B2</t>
  </si>
  <si>
    <t>Que alcançaram classificação positiva no final do ano letivo</t>
  </si>
  <si>
    <t>Alunos de PLNM</t>
  </si>
  <si>
    <t>Que mudaram de nível de proficiência até final do ano letivo</t>
  </si>
  <si>
    <r>
      <t>2.3</t>
    </r>
    <r>
      <rPr>
        <b/>
        <sz val="7"/>
        <rFont val="Arial"/>
        <family val="2"/>
      </rPr>
      <t xml:space="preserve">      </t>
    </r>
    <r>
      <rPr>
        <b/>
        <sz val="11"/>
        <rFont val="Arial"/>
        <family val="2"/>
      </rPr>
      <t>Avaliação Interna - N.º de alunos que obtiveram classificação positiva a todas as disciplinas / áreas disciplinares</t>
    </r>
  </si>
  <si>
    <t>Inscritos (exceto os transferidos)</t>
  </si>
  <si>
    <r>
      <t>Níveis positivos</t>
    </r>
    <r>
      <rPr>
        <vertAlign val="superscript"/>
        <sz val="10"/>
        <rFont val="Arial"/>
        <family val="2"/>
      </rPr>
      <t xml:space="preserve"> 2</t>
    </r>
  </si>
  <si>
    <t>Alunos com classificação positiva a todas as disciplinas / áreas disciplinares</t>
  </si>
  <si>
    <r>
      <rPr>
        <b/>
        <vertAlign val="superscript"/>
        <sz val="10"/>
        <rFont val="Arial"/>
        <family val="2"/>
      </rPr>
      <t>1</t>
    </r>
    <r>
      <rPr>
        <b/>
        <sz val="8"/>
        <rFont val="Arial"/>
        <family val="2"/>
      </rPr>
      <t xml:space="preserve"> </t>
    </r>
    <r>
      <rPr>
        <sz val="8"/>
        <rFont val="Arial"/>
        <family val="2"/>
      </rPr>
      <t xml:space="preserve">Não considerar os alunos de PLNM 
</t>
    </r>
    <r>
      <rPr>
        <b/>
        <vertAlign val="superscript"/>
        <sz val="10"/>
        <rFont val="Arial"/>
        <family val="2"/>
      </rPr>
      <t xml:space="preserve">2 </t>
    </r>
    <r>
      <rPr>
        <sz val="8"/>
        <rFont val="Arial"/>
        <family val="2"/>
      </rPr>
      <t xml:space="preserve">Considerar os alunos dos PCA e com NEE 
</t>
    </r>
    <r>
      <rPr>
        <b/>
        <vertAlign val="superscript"/>
        <sz val="10"/>
        <rFont val="Arial"/>
        <family val="2"/>
      </rPr>
      <t>3</t>
    </r>
    <r>
      <rPr>
        <sz val="8"/>
        <rFont val="Arial"/>
        <family val="2"/>
      </rPr>
      <t xml:space="preserve"> Considerar todos os alunos do Ensino Secundário, Cursos Científico-Humanísticos, inscritos para progressão / aprovação a Português e a Matemática A</t>
    </r>
  </si>
  <si>
    <t xml:space="preserve">Nível de proficiência linguística </t>
  </si>
  <si>
    <r>
      <t xml:space="preserve">Nº total de alunos avaliados </t>
    </r>
    <r>
      <rPr>
        <vertAlign val="superscript"/>
        <sz val="10"/>
        <rFont val="Arial"/>
        <family val="2"/>
      </rPr>
      <t>4</t>
    </r>
    <r>
      <rPr>
        <sz val="9"/>
        <rFont val="Arial"/>
        <family val="2"/>
      </rPr>
      <t xml:space="preserve"> </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</si>
  <si>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não</t>
    </r>
    <r>
      <rPr>
        <b/>
        <sz val="11"/>
        <rFont val="Arial"/>
        <family val="2"/>
      </rPr>
      <t xml:space="preserve"> 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</si>
  <si>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 xml:space="preserve">não </t>
    </r>
    <r>
      <rPr>
        <b/>
        <sz val="11"/>
        <rFont val="Arial"/>
        <family val="2"/>
      </rPr>
      <t>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</si>
  <si>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2015/16 (nos 9.º e 12.º anos de escolaridade, por favor, </t>
    </r>
    <r>
      <rPr>
        <b/>
        <sz val="14"/>
        <rFont val="Arial"/>
        <family val="2"/>
      </rPr>
      <t>não</t>
    </r>
    <r>
      <rPr>
        <b/>
        <sz val="11"/>
        <rFont val="Arial"/>
        <family val="2"/>
      </rPr>
      <t xml:space="preserve"> incluir os resultados das provas finais e dos exames nacionais)</t>
    </r>
  </si>
  <si>
    <t>3.2     Provas Finais - 9.º ano (considerar apenas os resultados da 1.ª chamada dos alunos que realizaram as provas/exames na qualidade de internos e para aprovação)</t>
  </si>
  <si>
    <t>3.3     Exames Nacionais - 12.º ano (considerar apenas os resultados da 1.ª chamada dos alunos que realizaram as provas/exames na qualidade de internos e para aprovação)</t>
  </si>
  <si>
    <t>6. Observações</t>
  </si>
  <si>
    <t>No ano letivo 2015/16 realizaram provas de aferição / provas finais no …</t>
  </si>
  <si>
    <t>2.º ano</t>
  </si>
  <si>
    <t>4.º ano</t>
  </si>
  <si>
    <t>5.º ano</t>
  </si>
  <si>
    <t>6.º ano</t>
  </si>
  <si>
    <t>8.º ano</t>
  </si>
  <si>
    <t>Caso tenha respondido negativamente a alguma das opções, por favor, apresente de forma sucinta as principais razões que levaram a essa decisão</t>
  </si>
  <si>
    <t>3.1     Provas de Aferição / Provas Finais internas</t>
  </si>
  <si>
    <t>Se respondeu negativamente, por favor, indique de forma resumida as principais razões subjacentes à vossa decisão.</t>
  </si>
  <si>
    <t>4- Como pretendem aferir o impacto da ação do/a perito/a externo/a nas dimensões intervencionadas?</t>
  </si>
  <si>
    <t>2- Que papel(eis) preveem que o/a perito/a externo/a venha a desempenhar ao nível:</t>
  </si>
  <si>
    <t>5.1  Grau de concretização das Metas Gerais no ano letivo 2015/16</t>
  </si>
  <si>
    <t>2.3</t>
  </si>
  <si>
    <t>Avaliação Interna a Português Língua Não Materna (PLNM)</t>
  </si>
  <si>
    <r>
      <rPr>
        <b/>
        <sz val="10"/>
        <color indexed="12"/>
        <rFont val="Arial"/>
        <family val="2"/>
      </rPr>
      <t xml:space="preserve">3.1 </t>
    </r>
    <r>
      <rPr>
        <u/>
        <sz val="10"/>
        <color indexed="12"/>
        <rFont val="Arial"/>
        <family val="2"/>
      </rPr>
      <t>Provas de Aferição / Provas Finais internas</t>
    </r>
  </si>
  <si>
    <r>
      <rPr>
        <b/>
        <sz val="10"/>
        <color indexed="12"/>
        <rFont val="Arial"/>
        <family val="2"/>
      </rPr>
      <t>3.3</t>
    </r>
    <r>
      <rPr>
        <sz val="10"/>
        <color indexed="12"/>
        <rFont val="Arial"/>
        <family val="2"/>
      </rPr>
      <t xml:space="preserve"> </t>
    </r>
    <r>
      <rPr>
        <u/>
        <sz val="10"/>
        <color indexed="12"/>
        <rFont val="Arial"/>
        <family val="2"/>
      </rPr>
      <t>Exames Nacionais - 12.º ano</t>
    </r>
  </si>
  <si>
    <t>Anexo I - Plano de Capacitação para 2016/17</t>
  </si>
  <si>
    <t>Anexo II - Plano de Ação do/a Perito/a Externo/a para 2016/17</t>
  </si>
  <si>
    <r>
      <t xml:space="preserve">Depois de preenchido, por favor  remeta este relatório, até ao dia </t>
    </r>
    <r>
      <rPr>
        <b/>
        <sz val="11"/>
        <color rgb="FFFF0000"/>
        <rFont val="Calibri"/>
        <family val="2"/>
      </rPr>
      <t>31 de julho de 2016</t>
    </r>
    <r>
      <rPr>
        <sz val="11"/>
        <rFont val="Calibri"/>
        <family val="2"/>
      </rPr>
      <t xml:space="preserve">, para a DGE através do mail  </t>
    </r>
    <r>
      <rPr>
        <b/>
        <sz val="11"/>
        <color theme="3"/>
        <rFont val="Calibri"/>
        <family val="2"/>
      </rPr>
      <t>epipse@dge.mec.pt</t>
    </r>
  </si>
  <si>
    <t>Por favor, não esquecer de corrigir e/ou adicionar dados em falta relativos a anos letivos anteriores.</t>
  </si>
  <si>
    <t>Relatório TEIP 2015/2016 - Parte I</t>
  </si>
  <si>
    <r>
      <t xml:space="preserve">N.º total de alunos inscritos no EB Regular </t>
    </r>
    <r>
      <rPr>
        <b/>
        <sz val="8"/>
        <color indexed="8"/>
        <rFont val="Calibri"/>
        <family val="2"/>
      </rPr>
      <t>(1)</t>
    </r>
  </si>
  <si>
    <r>
      <rPr>
        <sz val="10"/>
        <color indexed="8"/>
        <rFont val="Calibri"/>
        <family val="2"/>
      </rPr>
      <t>Prova 1:</t>
    </r>
    <r>
      <rPr>
        <sz val="10"/>
        <rFont val="Arial"/>
        <family val="2"/>
      </rPr>
      <t xml:space="preserve"> </t>
    </r>
    <r>
      <rPr>
        <b/>
        <sz val="12"/>
        <color indexed="8"/>
        <rFont val="Calibri"/>
        <family val="2"/>
      </rPr>
      <t>Português - 9.º Ano (Prova 91)</t>
    </r>
  </si>
  <si>
    <r>
      <rPr>
        <sz val="10"/>
        <color indexed="8"/>
        <rFont val="Calibri"/>
        <family val="2"/>
      </rPr>
      <t>Prova 2:</t>
    </r>
    <r>
      <rPr>
        <sz val="10"/>
        <rFont val="Arial"/>
        <family val="2"/>
      </rPr>
      <t xml:space="preserve"> </t>
    </r>
    <r>
      <rPr>
        <b/>
        <sz val="12"/>
        <color indexed="8"/>
        <rFont val="Calibri"/>
        <family val="2"/>
      </rPr>
      <t>Matemática  - 9.º Ano (Prova 92)</t>
    </r>
  </si>
  <si>
    <t>Prova 3:</t>
  </si>
  <si>
    <t>Prova 4:</t>
  </si>
  <si>
    <t>A Cassificação Final alcançada em 2015/16 foi:</t>
  </si>
  <si>
    <r>
      <rPr>
        <sz val="7"/>
        <rFont val="Calibri"/>
        <family val="2"/>
        <scheme val="minor"/>
      </rPr>
      <t>(1) Incluir os NEE e os PCA e excluir os transferidos e os PIEF; Não contabilizar os alunos que não são inseridos</t>
    </r>
    <r>
      <rPr>
        <sz val="7"/>
        <color rgb="FFFF0000"/>
        <rFont val="Calibri"/>
        <family val="2"/>
        <scheme val="minor"/>
      </rPr>
      <t xml:space="preserve"> </t>
    </r>
    <r>
      <rPr>
        <sz val="7"/>
        <color theme="1"/>
        <rFont val="Calibri"/>
        <family val="2"/>
        <scheme val="minor"/>
      </rPr>
      <t>como transferidos para efeitos de exportação de dados para a MISI</t>
    </r>
    <r>
      <rPr>
        <sz val="7"/>
        <color rgb="FFFF0000"/>
        <rFont val="Calibri"/>
        <family val="2"/>
        <scheme val="minor"/>
      </rPr>
      <t xml:space="preserve"> </t>
    </r>
    <r>
      <rPr>
        <sz val="7"/>
        <rFont val="Calibri"/>
        <family val="2"/>
        <scheme val="minor"/>
      </rPr>
      <t>mas, c</t>
    </r>
    <r>
      <rPr>
        <sz val="7"/>
        <color theme="1"/>
        <rFont val="Calibri"/>
        <family val="2"/>
        <scheme val="minor"/>
      </rPr>
      <t>omprovadamente, emigraram ou estão a frequentar cursos em escolas profissionais com equivalência ao ciclo de estudos em que estavam inscritos.</t>
    </r>
  </si>
  <si>
    <t>(2) Incluir os NEE e os PCA e excluir as retenções por excesso de faltas
(3) Incluir os NEE, os PCA e os PIEF</t>
  </si>
  <si>
    <t>(1) Incluir os NEE e os PCA e excluir os transferidos, os CEF, os Vocacionais e os PIEF; Não contabilizar os alunos que não são inseridos como transferidos para efeitos de exportação de dados para a MISI mas, comprovadamente, emigraram ou estão a frequentar cursos em escolas profissionais com equivalência ao ciclo de estudos em que estavam inscritos.</t>
  </si>
  <si>
    <t>(2) Incluir os NEE e os PCA e excluir as retenções por excesso de faltas
(3) Incluir os NEE, os PCA, os Vocacionais, os CEF e os PIEF</t>
  </si>
  <si>
    <t>(1) Considerar apenas os alunos inscritos em Cursos Científico-Humanísticos, incluindo os NEE; Não contabilizar os alunos que não são inseridos como transferidos para efeitos de exportação de dados para a MISI mas , comprovadamente, emigraram ou estão a frequentar cursos em escolas profissionais com equivalência ao ciclo de estudos em que estavam inscritos.</t>
  </si>
  <si>
    <t>(1) Excluíndo os transferidos, o pré-escolar, os cursos EFA e o Ensino Recorrente; Não contabilizar os alunos que não são inseridos como transferidos para efeitos de exportação de dados para a MISI mas, comprovadamente, emigraram ou estão a frequentar cursos em escolas profissionais com equivalência ao ciclo de estudos em que estavam inscritos.</t>
  </si>
  <si>
    <r>
      <t xml:space="preserve">N.º total de alunos </t>
    </r>
    <r>
      <rPr>
        <b/>
        <sz val="8"/>
        <color theme="1"/>
        <rFont val="Calibri"/>
        <family val="2"/>
        <scheme val="minor"/>
      </rPr>
      <t>(2)</t>
    </r>
  </si>
  <si>
    <r>
      <t xml:space="preserve">(1) Excluír os transferidos, os cursos EFA, o Ensino Recorrente e Módulos capitalizáveis; </t>
    </r>
    <r>
      <rPr>
        <sz val="7"/>
        <color indexed="8"/>
        <rFont val="Calibri"/>
        <family val="2"/>
      </rPr>
      <t xml:space="preserve">Não contabilizar os alunos que não são inseridos como transferidos para efeitos de exportação de dados para a MISI mas, comprovadamente, emigraram ou estão a frequentar cursos em escolas profissionais com equivalência ao ciclo de estudos em que estavam inscritos.
</t>
    </r>
    <r>
      <rPr>
        <b/>
        <sz val="7"/>
        <color indexed="8"/>
        <rFont val="Calibri"/>
        <family val="2"/>
      </rPr>
      <t>(2) Incluir os alunos que se encontram fora da escolaridade obrigatória</t>
    </r>
  </si>
  <si>
    <r>
      <rPr>
        <b/>
        <vertAlign val="superscript"/>
        <sz val="9"/>
        <rFont val="Arial"/>
        <family val="2"/>
      </rPr>
      <t>1</t>
    </r>
    <r>
      <rPr>
        <b/>
        <sz val="7"/>
        <rFont val="Arial"/>
        <family val="2"/>
      </rPr>
      <t xml:space="preserve"> Incluir todos os alunos, nomeadamente os alunos com NEE (abrangidos pelo DL n.º 3/2008)
</t>
    </r>
    <r>
      <rPr>
        <b/>
        <vertAlign val="superscript"/>
        <sz val="9"/>
        <rFont val="Arial"/>
        <family val="2"/>
      </rPr>
      <t>2</t>
    </r>
    <r>
      <rPr>
        <b/>
        <sz val="7"/>
        <rFont val="Arial"/>
        <family val="2"/>
      </rPr>
      <t xml:space="preserve"> Inclui alunos inscritos no PCA
</t>
    </r>
    <r>
      <rPr>
        <b/>
        <vertAlign val="superscript"/>
        <sz val="9"/>
        <rFont val="Arial"/>
        <family val="2"/>
      </rPr>
      <t>3</t>
    </r>
    <r>
      <rPr>
        <b/>
        <sz val="7"/>
        <rFont val="Arial"/>
        <family val="2"/>
      </rPr>
      <t xml:space="preserve"> Incluir todos os alunos inscritos excepto os transferidos para fora da UO
</t>
    </r>
    <r>
      <rPr>
        <b/>
        <vertAlign val="superscript"/>
        <sz val="9"/>
        <rFont val="Arial"/>
        <family val="2"/>
      </rPr>
      <t>4</t>
    </r>
    <r>
      <rPr>
        <b/>
        <sz val="7"/>
        <rFont val="Arial"/>
        <family val="2"/>
      </rPr>
      <t xml:space="preserve"> Não incluir os alunos retidos por excesso de faltas injustificadas
</t>
    </r>
    <r>
      <rPr>
        <b/>
        <vertAlign val="superscript"/>
        <sz val="9"/>
        <rFont val="Arial"/>
        <family val="2"/>
      </rPr>
      <t>5</t>
    </r>
    <r>
      <rPr>
        <b/>
        <sz val="7"/>
        <rFont val="Arial"/>
        <family val="2"/>
      </rPr>
      <t xml:space="preserve"> Considerar os alunos que ficaram retidos por excesso de faltas, anularam a matrícula, excluíram por excesso de faltas e os que, apesar de inscritos, por motivo desconhecido / não comprovado, nunca compareceram às aulas. I</t>
    </r>
    <r>
      <rPr>
        <b/>
        <u/>
        <sz val="7"/>
        <rFont val="Arial"/>
        <family val="2"/>
      </rPr>
      <t>ncluir na contabilização os alunos que se encontram fora da escolaridade obrigatória</t>
    </r>
    <r>
      <rPr>
        <b/>
        <sz val="7"/>
        <rFont val="Arial"/>
        <family val="2"/>
      </rPr>
      <t xml:space="preserve">
</t>
    </r>
    <r>
      <rPr>
        <b/>
        <vertAlign val="superscript"/>
        <sz val="9"/>
        <rFont val="Arial"/>
        <family val="2"/>
      </rPr>
      <t xml:space="preserve">6 </t>
    </r>
    <r>
      <rPr>
        <b/>
        <sz val="7"/>
        <rFont val="Arial"/>
        <family val="2"/>
      </rPr>
      <t xml:space="preserve">Considerar todos os alunos que ultrapassaram o limite legal de faltas injustificadas independentemente da situação final, ou seja, quer tenham transitado/concluído, quer tenham desistido ou ficado retidos
</t>
    </r>
    <r>
      <rPr>
        <b/>
        <vertAlign val="superscript"/>
        <sz val="9"/>
        <rFont val="Arial"/>
        <family val="2"/>
      </rPr>
      <t>7</t>
    </r>
    <r>
      <rPr>
        <b/>
        <sz val="7"/>
        <rFont val="Arial"/>
        <family val="2"/>
      </rPr>
      <t xml:space="preserve"> Não considerar ofertas destinadas a adultos</t>
    </r>
  </si>
  <si>
    <t>O valor de chegada deve ser menor ou igual a 0,10</t>
  </si>
  <si>
    <t>-</t>
  </si>
  <si>
    <t>Professores(as)</t>
  </si>
  <si>
    <t>Técnicos(as)</t>
  </si>
  <si>
    <t>Assistentes operacionais</t>
  </si>
  <si>
    <t>Professores(as) e Técnicos(as)</t>
  </si>
  <si>
    <t>Técnicos(as) e assistentes operacionais</t>
  </si>
  <si>
    <t>Professores(as) e Assistentes operacionais</t>
  </si>
  <si>
    <t>Professores(as), técnicos(as) e assistentes operacionais</t>
  </si>
  <si>
    <r>
      <t xml:space="preserve">5.1 Grau de concretização das Metas Gerais no ano letivo 2015/16 </t>
    </r>
    <r>
      <rPr>
        <u/>
        <sz val="10"/>
        <color rgb="FFC00000"/>
        <rFont val="Arial"/>
        <family val="2"/>
      </rPr>
      <t>(</t>
    </r>
    <r>
      <rPr>
        <b/>
        <u/>
        <sz val="10"/>
        <color rgb="FFC00000"/>
        <rFont val="Arial"/>
        <family val="2"/>
      </rPr>
      <t>ATENÇÃO: É necessário inserir / conferir os dados das células com fundo branco</t>
    </r>
    <r>
      <rPr>
        <u/>
        <sz val="10"/>
        <color rgb="FFC00000"/>
        <rFont val="Arial"/>
        <family val="2"/>
      </rPr>
      <t>)</t>
    </r>
  </si>
  <si>
    <r>
      <rPr>
        <b/>
        <sz val="10"/>
        <color indexed="12"/>
        <rFont val="Arial"/>
        <family val="2"/>
      </rPr>
      <t>3.2</t>
    </r>
    <r>
      <rPr>
        <sz val="10"/>
        <color indexed="12"/>
        <rFont val="Arial"/>
        <family val="2"/>
      </rPr>
      <t xml:space="preserve"> </t>
    </r>
    <r>
      <rPr>
        <u/>
        <sz val="10"/>
        <color indexed="12"/>
        <rFont val="Arial"/>
        <family val="2"/>
      </rPr>
      <t xml:space="preserve">Provas Finais - 9.º ano </t>
    </r>
    <r>
      <rPr>
        <b/>
        <u/>
        <sz val="10"/>
        <color rgb="FFC00000"/>
        <rFont val="Arial"/>
        <family val="2"/>
      </rPr>
      <t>(ATENÇÃO: É necessário inserir os dados referentes ao n.º de faltas)</t>
    </r>
  </si>
  <si>
    <t>1- Por favor, descreva de forma sucinta em que dimensões da atividade da vossa organização pensam ser fundamental poder contar com o apoio do/a perito/a externo/a.</t>
  </si>
  <si>
    <t>a) da promoção da reflexão em torno das práticas pedagógicas adotadas em sala de aula?</t>
  </si>
  <si>
    <t>c) da monitorização e avaliação do Plano Plurianual de Melhoria?</t>
  </si>
  <si>
    <t>3- Que atividades estão a prever desenvolver com a colaboração, direta ou indireta, do/a perito/a externo/a?</t>
  </si>
  <si>
    <t>(2) Excluir as retenções por excesso de faltas 
(3) Considerar apenas os alunos inscritos para progressão/aprovação a todas as disciplinas, incluindo os NEE</t>
  </si>
  <si>
    <t>Por favor comente, de forma resumida, os valores apresentados</t>
  </si>
  <si>
    <r>
      <rPr>
        <b/>
        <vertAlign val="superscript"/>
        <sz val="10"/>
        <rFont val="Arial"/>
        <family val="2"/>
      </rPr>
      <t>4</t>
    </r>
    <r>
      <rPr>
        <sz val="8"/>
        <rFont val="Arial"/>
        <family val="2"/>
      </rPr>
      <t xml:space="preserve"> No ensino básico, deve-se incluir os alunos NEE, os PCA, os CEF, os PIEF e os C. Vocacionais. Nos Cursos Vocacionais contabilizar os alunos que tenham concluído com aproveitamento o conjunto das disciplinas das componentes geral e complementar e 100 % dos módulos da componente vocacional e da prática simulada.
</t>
    </r>
    <r>
      <rPr>
        <b/>
        <vertAlign val="superscript"/>
        <sz val="10"/>
        <rFont val="Arial"/>
        <family val="2"/>
      </rPr>
      <t xml:space="preserve">5 </t>
    </r>
    <r>
      <rPr>
        <sz val="8"/>
        <rFont val="Arial"/>
        <family val="2"/>
      </rPr>
      <t xml:space="preserve">No ensino secundário, considerar apenas os alunos inscritos nos cursos científico-humanísticos </t>
    </r>
    <r>
      <rPr>
        <b/>
        <u/>
        <sz val="8"/>
        <rFont val="Arial"/>
        <family val="2"/>
      </rPr>
      <t>a todas as disciplinas</t>
    </r>
    <r>
      <rPr>
        <sz val="8"/>
        <rFont val="Arial"/>
        <family val="2"/>
      </rPr>
      <t xml:space="preserve"> (não considerar o caso dos alunos repetentes que estão inscritos a algumas disciplinas para melhoria de nota)</t>
    </r>
  </si>
  <si>
    <t>Sim</t>
  </si>
  <si>
    <t>Não</t>
  </si>
  <si>
    <t>O AE Maximinos não considerou relevante realizar as provas finais internas, uma vez que não nos permitem comparar o desempenho dos nossos alunos com os alunos de outras escolas. Além disso, a nível interno já é usual a utilização de instrumentos de avaliação comuns, em muitos casos corrigidos por outro docente que não o titular de turma.</t>
  </si>
  <si>
    <t>A ação do perito externo é relevante no enquadramento, no acompanhamento e monitorização e na adequação dos diferentes dispositivos implementados com vista à promoção do sucesso escolar, bem como no enquadramento e na organização de processos de formação contextualizada com vista à capacitação dos professores para a consecução das metas estabelecidas.</t>
  </si>
  <si>
    <t xml:space="preserve">Reuniões com coordenadores de ações de melhoria, suporte à liderança do projeto e facilitação de disseminação de boas práticas; acompanhamento da monitorização da ação educativa pelos coordenadores das diversas ações; apoio ao enquadramento de formação centrada na escola e à disseminação de boas práticas no âmbito da microrrede TEIP e da rede de escolas associadas à Universidade Católica. 
</t>
  </si>
  <si>
    <t>Facilitação de partilha de boas práticas no âmbito da microrrede TEIP e da rede de escolas associadas à Universidade Católica.</t>
  </si>
  <si>
    <t xml:space="preserve">Colaboração com a equipa de autoavaliação no planeamento e implementação do projeto de acompanhamento e avaliação das ações que integram o plano de melhoria. </t>
  </si>
  <si>
    <t xml:space="preserve">Grau de consecução das metas do Plano Plurianual de Melhoria; satisfação dos atores escolares.
</t>
  </si>
  <si>
    <t>info@aemaximinos.net</t>
  </si>
  <si>
    <t xml:space="preserve">direccaoesmax@esmax.pt </t>
  </si>
  <si>
    <t>carlosgoncalves@esmax.pt</t>
  </si>
  <si>
    <t>Os valores apresentados representam uma evolução positiva a Matemática tendo em conta o desvio para os dados nacionais; no caso de Português os resultados são inversos, constituindo um ano excecionalmente negativo.</t>
  </si>
  <si>
    <t>Verifica-se uma redução no número de ocorrências por aluno e a manutenção de um nível relativamente baixo de MDA (medidas disciplinares por aluno); no entanto, a percentagem de alunos envolvidos em ocorrências foi maior que no ano letivo anterior, bem como a percentagem de MDS.</t>
  </si>
  <si>
    <t xml:space="preserve"> "A articulação vertical no Domínio 'Números e Operações' - 1º, 2º e 3º ciclos do ensino básico"</t>
  </si>
  <si>
    <t>Presencial</t>
  </si>
  <si>
    <t>Oficina</t>
  </si>
  <si>
    <t>CFAE Braga/Sul; AE de Maximinos; Ae de Prado</t>
  </si>
  <si>
    <t>110; 230; 500</t>
  </si>
  <si>
    <t xml:space="preserve">Promover conhecimento sobre metodologias, técnicas e recursos que permitam apoiar o desenvolvimento curricular em “Números e Operações”;  favorecer a realização de experiências de desenvolvimento curricular em “Números e Operações” que propiciem o incremento de uma atitude positiva face a esta área do saber e contemplem a planificação de tarefas, a sua condução e reflexão; proporcionar aos professores uma visão integrada do domínio “Números e Operações”, no contexto do Programa e respetivas Metas Curriculares, incluindo tarefas e práticas em sala de aula e noutros espaços, de modo a que os alunos interajam durante os processos de aprendizagem; criar dinâmicas de trabalho entre os professores de um mesmo ciclo e entre professores do 1.º , 2.º e 3º ciclos, com vista a um investimento continuado no ensino da Matemática ao longo do ensino básico; elaborar materiais e tarefas para utilizar em sala de aula que permitam trabalhar finalidades, objetivos e conteúdos do Programa e das Metas curriculares relativamente a “Números e Operações” tendo por “pano de fundo” a articulação vertical.
</t>
  </si>
  <si>
    <t>Análise das reflexões individuais dos docentes que participam na fomação; análise das atas da Coordenação de DC do 1º ciclo e de MCE; verificação da utilização na sala de aula dos materiais construídos (ao longo do ano letivo)</t>
  </si>
  <si>
    <t>II edição do Forum Cooperar, Refletir, Partilhar "Promoção da disciplina em contexto de sala de aula"</t>
  </si>
  <si>
    <t>Outra</t>
  </si>
  <si>
    <t>Universidade Católica; AE Maximinos;</t>
  </si>
  <si>
    <t>Todos</t>
  </si>
  <si>
    <t>Atitude mais positiva relativamente às questões da indisciplina-</t>
  </si>
  <si>
    <t>Análise da evolução das participações de ocorrência.</t>
  </si>
  <si>
    <t>O insucesso no 2º ciclo deve-se, sobretudo, ao 6º ano (16 alunos retidos); os casos de abandono e absentismo correspondem na totalidade a alunos de etnia cigana, em que a maioria já se encontrava nessa situação em anos anteriores; os alunos de etnia cigana que frequentaram pela 1ª vez o 5º ano, fizeram um percurso normal e transitaram.</t>
  </si>
  <si>
    <t>O insucesso no 1º ciclo deve-se, sobretudo, aos 2º e 3º anos, respetivamnente com 12 e 11 alunos retidos.</t>
  </si>
  <si>
    <t>O insucesso no 3º ciclo deve-se, sobretudo, ao 7º ano (26 alunos retidos); no curso vocacional, apesar de 7 alunos não terem concluído todos os módulos, todos concluíram pelo menos 70% desses módulos, encontrando-se nas condições de integrar um Curso Vocacional de nível secundário se continuasse a existir essa oferta formativa.</t>
  </si>
  <si>
    <t>Dos 145 alunos registados no ensino secundário, 7 alunos frequentaram apenas as disciplinas necessárias à conclusão desse nível de ensino.</t>
  </si>
  <si>
    <t xml:space="preserve">É relevante a percentagem de alunos que obtiveram sucesso em PLNM (77,78) e que transitaram de nível de proficiência (72,22). </t>
  </si>
  <si>
    <t>Verifica-se que os resultados são mais favoráveis relativamente ao ano letivo anterior nos 1º, 2º, 7º, 9º e em todo o ensino secundário; no 2º ciclo a realidade é inversa; nos restantes anos (3º, 4º e 8º anos), apesar dos resultados serem inferiores, o desvio é reduzido.</t>
  </si>
  <si>
    <t>Os dados registados previamente pela EPIPSE relativos às provas externas no 9º ano foram alterados, uma vez que continham discrepâncias muito acentuadas em relação ao dados reais, fruto, eventualmente, de na exportação de dados os alunos do ensino articulado da música  serem erradamente interpretados como sendo alunos não internos; o registo do início da ação de capacitação no âmbito da prevenção de conflitos é meramente indicativa (provavelmente realizar-se-á no dia 1 de março de 2017, na interrupção do Carnaval; da ação de capacitação no âmbito da Matemática já se realizaram 4 horas em julho, tendo continuidade em outubro,  terminando em 19 de novembro de 2016; no quadro 2_AvI, os dados não introduzidos a Matemática em alguns anos letivos significa que o "número total de alunos avaliados" a Português e Matemática é diferente e, como tal, a introdução de alunos com positiva nessa disciplina iria dar origem a uma percentagem irreal.</t>
  </si>
  <si>
    <t xml:space="preserve">Organização e realização na escola de nova edição do Forum Cooperar, Refletir, Partilhar; disseminação de boas práticas na imprensa local e nos Cadernos Desafios (FEP/UCP); partilha de materiais, ideias e boas práticas com outras escolas no Ciclo de Seminários promovidos pela Universidade Católica.
</t>
  </si>
  <si>
    <t>Na disciplina de Português os resultados são mais favoráveis que no ano letivo anterior na grande maioria dos anos de escolaridade (apenas no 3º ano a situação é inversa); a Matemática os resultados são mais favoráveis nos 1º. 3º, 5º, 7º, 8º, 11º e 12º anos (86,7%, a que corresponde 26 alunos com positiva em 30 alunos em 2014/15); os dados não introduzidos a Matemática em alguns anos letivos significa que o "número total de alunos avaliados" a Português e Matemática é diferente e, como tal, a introdução de alunos com positiva nessa disciplina iria dar origem a uma percentagem irreal; relativamente ao ano letivo 2011/12, não há dados disponíveis.</t>
  </si>
  <si>
    <t>Os resultados verificados nas disciplinas de Português e Matemática A não permietm extrair grandes conclusões, dado o número reduzido de alunos internos envolvidos; no entanto, os resultados são mais animadores a Matemática que no ano letivo passado.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</si>
</sst>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1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b/>
      <sz val="10"/>
      <name val="Calibri"/>
      <family val="2"/>
    </font>
    <font>
      <b/>
      <sz val="12"/>
      <name val="Calibri"/>
      <family val="2"/>
    </font>
    <font>
      <sz val="10"/>
      <name val="Calibri"/>
      <family val="2"/>
    </font>
    <font>
      <sz val="8"/>
      <name val="Arial"/>
      <family val="2"/>
    </font>
    <font>
      <sz val="12"/>
      <name val="Arial"/>
      <family val="2"/>
    </font>
    <font>
      <b/>
      <sz val="12"/>
      <name val="Arial"/>
      <family val="2"/>
    </font>
    <font>
      <u/>
      <sz val="10"/>
      <color indexed="12"/>
      <name val="Arial"/>
      <family val="2"/>
    </font>
    <font>
      <b/>
      <sz val="16"/>
      <name val="Calibri"/>
      <family val="2"/>
    </font>
    <font>
      <sz val="16"/>
      <name val="Arial"/>
      <family val="2"/>
    </font>
    <font>
      <b/>
      <sz val="10"/>
      <color indexed="12"/>
      <name val="Arial"/>
      <family val="2"/>
    </font>
    <font>
      <b/>
      <sz val="8"/>
      <name val="Arial"/>
      <family val="2"/>
    </font>
    <font>
      <sz val="8"/>
      <name val="Arial"/>
      <family val="2"/>
    </font>
    <font>
      <b/>
      <sz val="10"/>
      <name val="Arial"/>
      <family val="2"/>
    </font>
    <font>
      <sz val="10"/>
      <name val="Arial"/>
      <family val="2"/>
    </font>
    <font>
      <sz val="10"/>
      <name val="Arial"/>
      <family val="2"/>
    </font>
    <font>
      <sz val="12"/>
      <name val="Arial"/>
      <family val="2"/>
    </font>
    <font>
      <sz val="9"/>
      <name val="Arial"/>
      <family val="2"/>
    </font>
    <font>
      <b/>
      <sz val="11"/>
      <name val="Arial"/>
      <family val="2"/>
    </font>
    <font>
      <sz val="10"/>
      <color indexed="44"/>
      <name val="Arial"/>
      <family val="2"/>
    </font>
    <font>
      <sz val="11"/>
      <name val="Arial"/>
      <family val="2"/>
    </font>
    <font>
      <b/>
      <sz val="9"/>
      <color indexed="12"/>
      <name val="Arial"/>
      <family val="2"/>
    </font>
    <font>
      <b/>
      <sz val="8"/>
      <name val="Calibri"/>
      <family val="2"/>
    </font>
    <font>
      <b/>
      <u/>
      <sz val="8"/>
      <name val="Arial"/>
      <family val="2"/>
    </font>
    <font>
      <sz val="10"/>
      <color indexed="8"/>
      <name val="Calibri"/>
      <family val="2"/>
    </font>
    <font>
      <b/>
      <sz val="12"/>
      <color indexed="8"/>
      <name val="Calibri"/>
      <family val="2"/>
    </font>
    <font>
      <b/>
      <sz val="8"/>
      <color indexed="8"/>
      <name val="Calibri"/>
      <family val="2"/>
    </font>
    <font>
      <sz val="8"/>
      <color indexed="81"/>
      <name val="Tahoma"/>
      <family val="2"/>
    </font>
    <font>
      <b/>
      <sz val="9"/>
      <color indexed="81"/>
      <name val="Tahoma"/>
      <family val="2"/>
    </font>
    <font>
      <sz val="9"/>
      <color indexed="81"/>
      <name val="Tahoma"/>
      <family val="2"/>
    </font>
    <font>
      <sz val="9"/>
      <color indexed="12"/>
      <name val="Arial"/>
      <family val="2"/>
    </font>
    <font>
      <sz val="6"/>
      <name val="Arial"/>
      <family val="2"/>
    </font>
    <font>
      <b/>
      <sz val="9"/>
      <name val="Arial"/>
      <family val="2"/>
    </font>
    <font>
      <b/>
      <sz val="6"/>
      <name val="Arial"/>
      <family val="2"/>
    </font>
    <font>
      <b/>
      <sz val="8"/>
      <color indexed="81"/>
      <name val="Arial"/>
      <family val="2"/>
    </font>
    <font>
      <b/>
      <sz val="9"/>
      <color indexed="81"/>
      <name val="Arial"/>
      <family val="2"/>
    </font>
    <font>
      <b/>
      <sz val="7"/>
      <color indexed="10"/>
      <name val="Arial"/>
      <family val="2"/>
    </font>
    <font>
      <b/>
      <sz val="7"/>
      <name val="Arial"/>
      <family val="2"/>
    </font>
    <font>
      <sz val="7"/>
      <name val="Arial"/>
      <family val="2"/>
    </font>
    <font>
      <b/>
      <sz val="8"/>
      <color indexed="10"/>
      <name val="Arial"/>
      <family val="2"/>
    </font>
    <font>
      <b/>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u/>
      <sz val="10"/>
      <color indexed="12"/>
      <name val="Calibri"/>
      <family val="2"/>
      <scheme val="minor"/>
    </font>
    <font>
      <b/>
      <sz val="8"/>
      <color rgb="FFFF0000"/>
      <name val="Arial"/>
      <family val="2"/>
    </font>
    <font>
      <sz val="10"/>
      <name val="Calibri"/>
      <family val="2"/>
      <scheme val="minor"/>
    </font>
    <font>
      <b/>
      <sz val="10"/>
      <color rgb="FFFF0000"/>
      <name val="Arial"/>
      <family val="2"/>
    </font>
    <font>
      <sz val="8"/>
      <color theme="1"/>
      <name val="Calibri"/>
      <family val="2"/>
      <scheme val="minor"/>
    </font>
    <font>
      <sz val="9"/>
      <color theme="1"/>
      <name val="Calibri"/>
      <family val="2"/>
      <scheme val="minor"/>
    </font>
    <font>
      <sz val="9"/>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sz val="7"/>
      <name val="Calibri"/>
      <family val="2"/>
      <scheme val="minor"/>
    </font>
    <font>
      <b/>
      <sz val="8"/>
      <name val="Calibri"/>
      <family val="2"/>
      <scheme val="minor"/>
    </font>
    <font>
      <b/>
      <sz val="9"/>
      <color theme="9" tint="-0.499984740745262"/>
      <name val="Calibri"/>
      <family val="2"/>
      <scheme val="minor"/>
    </font>
    <font>
      <sz val="11"/>
      <color theme="9" tint="-0.499984740745262"/>
      <name val="Calibri"/>
      <family val="2"/>
      <scheme val="minor"/>
    </font>
    <font>
      <b/>
      <sz val="16"/>
      <color theme="1"/>
      <name val="Calibri"/>
      <family val="2"/>
      <scheme val="minor"/>
    </font>
    <font>
      <sz val="12"/>
      <color theme="1"/>
      <name val="Calibri"/>
      <family val="2"/>
      <scheme val="minor"/>
    </font>
    <font>
      <b/>
      <sz val="16"/>
      <color theme="0"/>
      <name val="Calibri"/>
      <family val="2"/>
      <scheme val="minor"/>
    </font>
    <font>
      <sz val="16"/>
      <color theme="0"/>
      <name val="Calibri"/>
      <family val="2"/>
      <scheme val="minor"/>
    </font>
    <font>
      <sz val="20"/>
      <color theme="0"/>
      <name val="Calibri"/>
      <family val="2"/>
      <scheme val="minor"/>
    </font>
    <font>
      <b/>
      <sz val="9"/>
      <color rgb="FFFF0000"/>
      <name val="Arial"/>
      <family val="2"/>
    </font>
    <font>
      <sz val="8"/>
      <color rgb="FFFF0000"/>
      <name val="Arial"/>
      <family val="2"/>
    </font>
    <font>
      <b/>
      <sz val="8"/>
      <color theme="9" tint="-0.499984740745262"/>
      <name val="Calibri"/>
      <family val="2"/>
      <scheme val="minor"/>
    </font>
    <font>
      <sz val="11"/>
      <name val="Calibri"/>
      <family val="2"/>
      <scheme val="minor"/>
    </font>
    <font>
      <sz val="8"/>
      <name val="Calibri"/>
      <family val="2"/>
      <scheme val="minor"/>
    </font>
    <font>
      <b/>
      <sz val="20"/>
      <color rgb="FF0070C0"/>
      <name val="Calibri"/>
      <family val="2"/>
      <scheme val="minor"/>
    </font>
    <font>
      <sz val="10"/>
      <color rgb="FFFF0000"/>
      <name val="Arial"/>
      <family val="2"/>
    </font>
    <font>
      <b/>
      <sz val="11"/>
      <color rgb="FFFF0000"/>
      <name val="Arial"/>
      <family val="2"/>
    </font>
    <font>
      <b/>
      <sz val="12"/>
      <color rgb="FFFF0000"/>
      <name val="Arial"/>
      <family val="2"/>
    </font>
    <font>
      <b/>
      <sz val="12"/>
      <color theme="0"/>
      <name val="Calibri"/>
      <family val="2"/>
      <scheme val="minor"/>
    </font>
    <font>
      <b/>
      <sz val="12"/>
      <color theme="0"/>
      <name val="Arial"/>
      <family val="2"/>
    </font>
    <font>
      <b/>
      <sz val="18"/>
      <color theme="1"/>
      <name val="Calibri"/>
      <family val="2"/>
      <scheme val="minor"/>
    </font>
    <font>
      <sz val="18"/>
      <color theme="1"/>
      <name val="Calibri"/>
      <family val="2"/>
      <scheme val="minor"/>
    </font>
    <font>
      <b/>
      <sz val="12"/>
      <color theme="1"/>
      <name val="Calibri"/>
      <family val="2"/>
      <scheme val="minor"/>
    </font>
    <font>
      <b/>
      <sz val="16"/>
      <color theme="4" tint="0.79998168889431442"/>
      <name val="Calibri"/>
      <family val="2"/>
      <scheme val="minor"/>
    </font>
    <font>
      <sz val="11"/>
      <color theme="4" tint="0.79998168889431442"/>
      <name val="Calibri"/>
      <family val="2"/>
      <scheme val="minor"/>
    </font>
    <font>
      <b/>
      <sz val="12"/>
      <color rgb="FFFF0000"/>
      <name val="Calibri"/>
      <family val="2"/>
      <scheme val="minor"/>
    </font>
    <font>
      <sz val="8"/>
      <color theme="1"/>
      <name val="Calibri"/>
      <family val="2"/>
    </font>
    <font>
      <b/>
      <sz val="12"/>
      <color theme="1"/>
      <name val="Calibri"/>
      <family val="2"/>
    </font>
    <font>
      <sz val="7"/>
      <color rgb="FFFF0000"/>
      <name val="Calibri"/>
      <family val="2"/>
      <scheme val="minor"/>
    </font>
    <font>
      <sz val="7"/>
      <color indexed="8"/>
      <name val="Calibri"/>
      <family val="2"/>
    </font>
    <font>
      <sz val="11"/>
      <color indexed="8"/>
      <name val="Calibri"/>
      <family val="2"/>
    </font>
    <font>
      <b/>
      <sz val="11"/>
      <color theme="3"/>
      <name val="Arial"/>
      <family val="2"/>
    </font>
    <font>
      <sz val="11"/>
      <color theme="3"/>
      <name val="Arial"/>
      <family val="2"/>
    </font>
    <font>
      <b/>
      <sz val="11"/>
      <color theme="3"/>
      <name val="Calibri"/>
      <family val="2"/>
    </font>
    <font>
      <b/>
      <u/>
      <sz val="11"/>
      <name val="Arial"/>
      <family val="2"/>
    </font>
    <font>
      <b/>
      <sz val="14"/>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1"/>
      <color rgb="FFFF0000"/>
      <name val="Calibri"/>
      <family val="2"/>
    </font>
    <font>
      <b/>
      <vertAlign val="superscript"/>
      <sz val="10"/>
      <name val="Arial"/>
      <family val="2"/>
    </font>
    <font>
      <b/>
      <vertAlign val="superscript"/>
      <sz val="9"/>
      <name val="Arial"/>
      <family val="2"/>
    </font>
    <font>
      <b/>
      <u/>
      <sz val="10"/>
      <color indexed="12"/>
      <name val="Arial"/>
      <family val="2"/>
    </font>
    <font>
      <b/>
      <sz val="8"/>
      <color theme="0"/>
      <name val="Calibri"/>
      <family val="2"/>
      <scheme val="minor"/>
    </font>
    <font>
      <u/>
      <sz val="11"/>
      <color indexed="12"/>
      <name val="Calibri"/>
      <family val="2"/>
    </font>
    <font>
      <b/>
      <sz val="6"/>
      <name val="Calibri"/>
      <family val="2"/>
    </font>
    <font>
      <b/>
      <sz val="9"/>
      <color rgb="FFFF0000"/>
      <name val="Calibri"/>
      <family val="2"/>
    </font>
    <font>
      <vertAlign val="superscript"/>
      <sz val="9"/>
      <name val="Arial"/>
      <family val="2"/>
    </font>
    <font>
      <b/>
      <u/>
      <sz val="7"/>
      <name val="Arial"/>
      <family val="2"/>
    </font>
    <font>
      <vertAlign val="superscript"/>
      <sz val="10"/>
      <name val="Arial"/>
      <family val="2"/>
    </font>
    <font>
      <b/>
      <sz val="16"/>
      <name val="Arial"/>
      <family val="2"/>
    </font>
    <font>
      <b/>
      <sz val="18"/>
      <name val="Calibri"/>
      <family val="2"/>
    </font>
    <font>
      <sz val="10"/>
      <color indexed="12"/>
      <name val="Arial"/>
      <family val="2"/>
    </font>
    <font>
      <sz val="10"/>
      <color theme="1"/>
      <name val="Arial"/>
      <family val="2"/>
    </font>
    <font>
      <b/>
      <sz val="7"/>
      <color indexed="8"/>
      <name val="Calibri"/>
      <family val="2"/>
    </font>
    <font>
      <sz val="12"/>
      <color rgb="FFFF0000"/>
      <name val="Arial"/>
      <family val="2"/>
    </font>
    <font>
      <sz val="8"/>
      <color theme="3"/>
      <name val="Arial"/>
      <family val="2"/>
    </font>
    <font>
      <sz val="10"/>
      <color theme="0"/>
      <name val="Arial"/>
      <family val="2"/>
    </font>
    <font>
      <u/>
      <sz val="10"/>
      <color rgb="FFC00000"/>
      <name val="Arial"/>
      <family val="2"/>
    </font>
    <font>
      <b/>
      <u/>
      <sz val="10"/>
      <color rgb="FFC00000"/>
      <name val="Arial"/>
      <family val="2"/>
    </font>
  </fonts>
  <fills count="5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DBE5F1"/>
        <bgColor indexed="64"/>
      </patternFill>
    </fill>
    <fill>
      <patternFill patternType="solid">
        <fgColor theme="6" tint="0.79998168889431442"/>
        <bgColor indexed="64"/>
      </patternFill>
    </fill>
    <fill>
      <patternFill patternType="solid">
        <fgColor rgb="FFFDDFC7"/>
        <bgColor indexed="64"/>
      </patternFill>
    </fill>
    <fill>
      <patternFill patternType="solid">
        <fgColor rgb="FFF79B4F"/>
        <bgColor indexed="64"/>
      </patternFill>
    </fill>
    <fill>
      <patternFill patternType="solid">
        <fgColor rgb="FFF3E1E3"/>
        <bgColor indexed="64"/>
      </patternFill>
    </fill>
    <fill>
      <patternFill patternType="solid">
        <fgColor rgb="FFE4BEC2"/>
        <bgColor indexed="64"/>
      </patternFill>
    </fill>
    <fill>
      <patternFill patternType="solid">
        <fgColor rgb="FF99CC00"/>
        <bgColor indexed="64"/>
      </patternFill>
    </fill>
    <fill>
      <patternFill patternType="solid">
        <fgColor theme="5" tint="0.79998168889431442"/>
        <bgColor indexed="64"/>
      </patternFill>
    </fill>
    <fill>
      <patternFill patternType="solid">
        <fgColor theme="4"/>
        <bgColor indexed="64"/>
      </patternFill>
    </fill>
    <fill>
      <patternFill patternType="solid">
        <fgColor rgb="FF9BBB59"/>
        <bgColor indexed="64"/>
      </patternFill>
    </fill>
    <fill>
      <patternFill patternType="solid">
        <fgColor theme="9"/>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82A5D0"/>
        <bgColor indexed="64"/>
      </patternFill>
    </fill>
    <fill>
      <patternFill patternType="solid">
        <fgColor theme="6"/>
        <bgColor indexed="64"/>
      </patternFill>
    </fill>
    <fill>
      <patternFill patternType="solid">
        <fgColor rgb="FFBBD18F"/>
        <bgColor indexed="64"/>
      </patternFill>
    </fill>
    <fill>
      <patternFill patternType="solid">
        <fgColor rgb="FFD96709"/>
        <bgColor indexed="64"/>
      </patternFill>
    </fill>
    <fill>
      <patternFill patternType="solid">
        <fgColor theme="5" tint="0.39997558519241921"/>
        <bgColor indexed="64"/>
      </patternFill>
    </fill>
    <fill>
      <patternFill patternType="solid">
        <fgColor rgb="FFD39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2" tint="-0.499984740745262"/>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thick">
        <color rgb="FF92D050"/>
      </bottom>
      <diagonal/>
    </border>
    <border>
      <left/>
      <right/>
      <top/>
      <bottom style="double">
        <color theme="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24994659260841701"/>
      </right>
      <top/>
      <bottom/>
      <diagonal/>
    </border>
    <border>
      <left style="thin">
        <color theme="0" tint="-0.24994659260841701"/>
      </left>
      <right style="thin">
        <color theme="0" tint="-0.24994659260841701"/>
      </right>
      <top style="thin">
        <color theme="0" tint="-4.9989318521683403E-2"/>
      </top>
      <bottom/>
      <diagonal/>
    </border>
  </borders>
  <cellStyleXfs count="69">
    <xf numFmtId="0" fontId="0" fillId="0" borderId="0"/>
    <xf numFmtId="0" fontId="1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4" fillId="0" borderId="0"/>
    <xf numFmtId="0" fontId="51" fillId="0" borderId="0"/>
    <xf numFmtId="0" fontId="51" fillId="0" borderId="0"/>
    <xf numFmtId="0" fontId="51" fillId="0" borderId="0"/>
    <xf numFmtId="0" fontId="51" fillId="0" borderId="0"/>
    <xf numFmtId="0" fontId="24" fillId="0" borderId="0"/>
    <xf numFmtId="0" fontId="51" fillId="0" borderId="0"/>
    <xf numFmtId="0" fontId="8" fillId="0" borderId="0"/>
    <xf numFmtId="0" fontId="8" fillId="0" borderId="0"/>
    <xf numFmtId="0" fontId="7" fillId="0" borderId="0"/>
    <xf numFmtId="0" fontId="94" fillId="35" borderId="0" applyNumberFormat="0" applyBorder="0" applyAlignment="0" applyProtection="0"/>
    <xf numFmtId="0" fontId="94" fillId="36" borderId="0" applyNumberFormat="0" applyBorder="0" applyAlignment="0" applyProtection="0"/>
    <xf numFmtId="0" fontId="94" fillId="37" borderId="0" applyNumberFormat="0" applyBorder="0" applyAlignment="0" applyProtection="0"/>
    <xf numFmtId="0" fontId="94" fillId="38" borderId="0" applyNumberFormat="0" applyBorder="0" applyAlignment="0" applyProtection="0"/>
    <xf numFmtId="0" fontId="94" fillId="39" borderId="0" applyNumberFormat="0" applyBorder="0" applyAlignment="0" applyProtection="0"/>
    <xf numFmtId="0" fontId="94" fillId="40" borderId="0" applyNumberFormat="0" applyBorder="0" applyAlignment="0" applyProtection="0"/>
    <xf numFmtId="0" fontId="94" fillId="41" borderId="0" applyNumberFormat="0" applyBorder="0" applyAlignment="0" applyProtection="0"/>
    <xf numFmtId="0" fontId="94" fillId="42" borderId="0" applyNumberFormat="0" applyBorder="0" applyAlignment="0" applyProtection="0"/>
    <xf numFmtId="0" fontId="94" fillId="43" borderId="0" applyNumberFormat="0" applyBorder="0" applyAlignment="0" applyProtection="0"/>
    <xf numFmtId="0" fontId="94" fillId="38" borderId="0" applyNumberFormat="0" applyBorder="0" applyAlignment="0" applyProtection="0"/>
    <xf numFmtId="0" fontId="94" fillId="41" borderId="0" applyNumberFormat="0" applyBorder="0" applyAlignment="0" applyProtection="0"/>
    <xf numFmtId="0" fontId="94" fillId="44" borderId="0" applyNumberFormat="0" applyBorder="0" applyAlignment="0" applyProtection="0"/>
    <xf numFmtId="0" fontId="100" fillId="45"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46" borderId="0" applyNumberFormat="0" applyBorder="0" applyAlignment="0" applyProtection="0"/>
    <xf numFmtId="0" fontId="100" fillId="47" borderId="0" applyNumberFormat="0" applyBorder="0" applyAlignment="0" applyProtection="0"/>
    <xf numFmtId="0" fontId="100" fillId="48" borderId="0" applyNumberFormat="0" applyBorder="0" applyAlignment="0" applyProtection="0"/>
    <xf numFmtId="0" fontId="101" fillId="0" borderId="35"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0" fontId="103" fillId="0" borderId="0" applyNumberFormat="0" applyFill="0" applyBorder="0" applyAlignment="0" applyProtection="0"/>
    <xf numFmtId="0" fontId="104" fillId="49" borderId="38" applyNumberFormat="0" applyAlignment="0" applyProtection="0"/>
    <xf numFmtId="0" fontId="105" fillId="0" borderId="39" applyNumberFormat="0" applyFill="0" applyAlignment="0" applyProtection="0"/>
    <xf numFmtId="0" fontId="100" fillId="50" borderId="0" applyNumberFormat="0" applyBorder="0" applyAlignment="0" applyProtection="0"/>
    <xf numFmtId="0" fontId="100" fillId="51" borderId="0" applyNumberFormat="0" applyBorder="0" applyAlignment="0" applyProtection="0"/>
    <xf numFmtId="0" fontId="100" fillId="52" borderId="0" applyNumberFormat="0" applyBorder="0" applyAlignment="0" applyProtection="0"/>
    <xf numFmtId="0" fontId="100" fillId="46" borderId="0" applyNumberFormat="0" applyBorder="0" applyAlignment="0" applyProtection="0"/>
    <xf numFmtId="0" fontId="100" fillId="47" borderId="0" applyNumberFormat="0" applyBorder="0" applyAlignment="0" applyProtection="0"/>
    <xf numFmtId="0" fontId="100" fillId="53" borderId="0" applyNumberFormat="0" applyBorder="0" applyAlignment="0" applyProtection="0"/>
    <xf numFmtId="0" fontId="106" fillId="37" borderId="0" applyNumberFormat="0" applyBorder="0" applyAlignment="0" applyProtection="0"/>
    <xf numFmtId="0" fontId="107" fillId="40" borderId="38" applyNumberFormat="0" applyAlignment="0" applyProtection="0"/>
    <xf numFmtId="0" fontId="108" fillId="36" borderId="0" applyNumberFormat="0" applyBorder="0" applyAlignment="0" applyProtection="0"/>
    <xf numFmtId="0" fontId="109" fillId="54" borderId="0" applyNumberFormat="0" applyBorder="0" applyAlignment="0" applyProtection="0"/>
    <xf numFmtId="0" fontId="24" fillId="55" borderId="1" applyNumberFormat="0" applyFont="0" applyAlignment="0" applyProtection="0"/>
    <xf numFmtId="0" fontId="110" fillId="49" borderId="40"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0" fillId="0" borderId="41" applyNumberFormat="0" applyFill="0" applyAlignment="0" applyProtection="0"/>
    <xf numFmtId="0" fontId="114" fillId="56" borderId="42" applyNumberFormat="0" applyAlignment="0" applyProtection="0"/>
    <xf numFmtId="0" fontId="6" fillId="0" borderId="0"/>
    <xf numFmtId="0" fontId="6" fillId="0" borderId="0"/>
    <xf numFmtId="0" fontId="5" fillId="0" borderId="0"/>
    <xf numFmtId="0" fontId="4" fillId="0" borderId="0"/>
    <xf numFmtId="0" fontId="12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3" fillId="0" borderId="0"/>
    <xf numFmtId="0" fontId="94" fillId="0" borderId="0"/>
    <xf numFmtId="0" fontId="3" fillId="0" borderId="0"/>
    <xf numFmtId="0" fontId="94" fillId="0" borderId="0"/>
    <xf numFmtId="0" fontId="94" fillId="0" borderId="0"/>
    <xf numFmtId="9" fontId="24" fillId="0" borderId="0" applyFont="0" applyFill="0" applyBorder="0" applyAlignment="0" applyProtection="0"/>
    <xf numFmtId="0" fontId="2" fillId="0" borderId="0"/>
    <xf numFmtId="0" fontId="1" fillId="0" borderId="0"/>
  </cellStyleXfs>
  <cellXfs count="802">
    <xf numFmtId="0" fontId="0" fillId="0" borderId="0" xfId="0"/>
    <xf numFmtId="0" fontId="9" fillId="0" borderId="0" xfId="0" applyFont="1"/>
    <xf numFmtId="0" fontId="13" fillId="0" borderId="0" xfId="0" applyFont="1" applyAlignment="1">
      <alignment vertical="center"/>
    </xf>
    <xf numFmtId="0" fontId="0" fillId="0" borderId="0" xfId="0" applyBorder="1" applyAlignment="1">
      <alignment wrapText="1"/>
    </xf>
    <xf numFmtId="0" fontId="0" fillId="0" borderId="0" xfId="0" applyAlignment="1">
      <alignment vertical="center"/>
    </xf>
    <xf numFmtId="0" fontId="0" fillId="0" borderId="2" xfId="0" applyBorder="1" applyAlignment="1">
      <alignment wrapText="1"/>
    </xf>
    <xf numFmtId="0" fontId="14" fillId="0" borderId="0" xfId="0" applyFont="1"/>
    <xf numFmtId="0" fontId="15" fillId="0" borderId="0" xfId="0" applyFont="1" applyAlignment="1">
      <alignment vertical="center"/>
    </xf>
    <xf numFmtId="0" fontId="15" fillId="0" borderId="0" xfId="0" applyFont="1" applyAlignment="1">
      <alignment horizontal="left" vertical="center"/>
    </xf>
    <xf numFmtId="0" fontId="12" fillId="0" borderId="0" xfId="0" applyFont="1" applyBorder="1" applyAlignment="1">
      <alignment horizontal="center" vertical="center"/>
    </xf>
    <xf numFmtId="0" fontId="15" fillId="0" borderId="0" xfId="0" applyFont="1" applyAlignment="1" applyProtection="1">
      <alignment vertical="center"/>
      <protection locked="0"/>
    </xf>
    <xf numFmtId="0" fontId="15" fillId="0" borderId="0" xfId="0" applyFont="1" applyAlignment="1" applyProtection="1">
      <alignment horizontal="left" vertical="center"/>
      <protection locked="0"/>
    </xf>
    <xf numFmtId="0" fontId="0" fillId="0" borderId="0" xfId="0" applyAlignment="1">
      <alignment vertical="center" wrapText="1"/>
    </xf>
    <xf numFmtId="0" fontId="25" fillId="0" borderId="0" xfId="0" applyFont="1" applyAlignment="1">
      <alignment vertical="center"/>
    </xf>
    <xf numFmtId="0" fontId="25" fillId="0" borderId="0" xfId="0" applyFont="1"/>
    <xf numFmtId="0" fontId="22" fillId="0" borderId="0" xfId="0" applyFont="1" applyAlignment="1">
      <alignment vertical="center"/>
    </xf>
    <xf numFmtId="0" fontId="25" fillId="0" borderId="0" xfId="0" applyFont="1" applyFill="1" applyAlignment="1">
      <alignment vertical="center"/>
    </xf>
    <xf numFmtId="0" fontId="22" fillId="2" borderId="3" xfId="0" applyFont="1" applyFill="1" applyBorder="1" applyAlignment="1">
      <alignment horizontal="center" vertical="center" wrapText="1"/>
    </xf>
    <xf numFmtId="0" fontId="22" fillId="2" borderId="0" xfId="0" applyFont="1" applyFill="1" applyAlignment="1">
      <alignment horizontal="center" vertical="center"/>
    </xf>
    <xf numFmtId="0" fontId="21" fillId="2" borderId="4" xfId="0" applyFont="1" applyFill="1" applyBorder="1" applyAlignment="1">
      <alignment horizontal="center" vertical="center"/>
    </xf>
    <xf numFmtId="0" fontId="14" fillId="0" borderId="0" xfId="0" applyFont="1" applyAlignment="1">
      <alignment vertical="center"/>
    </xf>
    <xf numFmtId="0" fontId="20" fillId="0" borderId="0" xfId="0" applyFont="1" applyFill="1" applyAlignment="1">
      <alignment vertical="center"/>
    </xf>
    <xf numFmtId="0" fontId="27" fillId="0" borderId="0" xfId="0" applyFont="1" applyAlignment="1">
      <alignment vertical="center"/>
    </xf>
    <xf numFmtId="0" fontId="31" fillId="0" borderId="0" xfId="0" applyFont="1" applyAlignment="1">
      <alignment horizontal="center" vertical="center"/>
    </xf>
    <xf numFmtId="0" fontId="31" fillId="0" borderId="0" xfId="0" applyFont="1" applyFill="1" applyAlignment="1">
      <alignment horizontal="center" vertical="center" wrapText="1"/>
    </xf>
    <xf numFmtId="0" fontId="23" fillId="0" borderId="0" xfId="0" applyFont="1" applyAlignment="1">
      <alignment horizontal="center" vertical="center"/>
    </xf>
    <xf numFmtId="0" fontId="54" fillId="0" borderId="0" xfId="1" applyFont="1" applyAlignment="1" applyProtection="1">
      <alignment horizontal="center"/>
    </xf>
    <xf numFmtId="0" fontId="54" fillId="3" borderId="0" xfId="1" applyFont="1" applyFill="1" applyAlignment="1" applyProtection="1">
      <alignment horizontal="center" vertical="center"/>
    </xf>
    <xf numFmtId="0" fontId="16" fillId="4" borderId="0" xfId="0" applyFont="1" applyFill="1" applyAlignment="1" applyProtection="1">
      <alignment vertical="center"/>
      <protection hidden="1"/>
    </xf>
    <xf numFmtId="0" fontId="25" fillId="4" borderId="0" xfId="0" applyFont="1" applyFill="1" applyAlignment="1" applyProtection="1">
      <alignment vertical="center"/>
      <protection hidden="1"/>
    </xf>
    <xf numFmtId="0" fontId="26" fillId="4" borderId="0" xfId="0" applyFont="1" applyFill="1" applyAlignment="1" applyProtection="1">
      <alignment vertical="center"/>
      <protection hidden="1"/>
    </xf>
    <xf numFmtId="0" fontId="26" fillId="4" borderId="0" xfId="0" applyFont="1" applyFill="1" applyAlignment="1" applyProtection="1">
      <alignment horizontal="left" vertical="center"/>
      <protection hidden="1"/>
    </xf>
    <xf numFmtId="0" fontId="16" fillId="4" borderId="0" xfId="0" applyFont="1" applyFill="1" applyBorder="1" applyAlignment="1" applyProtection="1">
      <alignment horizontal="center" vertical="center"/>
      <protection hidden="1"/>
    </xf>
    <xf numFmtId="0" fontId="29" fillId="4" borderId="0" xfId="0" applyFont="1" applyFill="1" applyAlignment="1" applyProtection="1">
      <alignment vertical="center"/>
      <protection hidden="1"/>
    </xf>
    <xf numFmtId="164" fontId="22" fillId="2" borderId="4" xfId="0" applyNumberFormat="1" applyFont="1" applyFill="1" applyBorder="1" applyAlignment="1" applyProtection="1">
      <alignment horizontal="center" vertical="center" wrapText="1"/>
      <protection hidden="1"/>
    </xf>
    <xf numFmtId="0" fontId="55" fillId="0" borderId="0" xfId="0" applyFont="1" applyAlignment="1">
      <alignment vertical="center"/>
    </xf>
    <xf numFmtId="0" fontId="28" fillId="6" borderId="0" xfId="0" applyFont="1" applyFill="1" applyAlignment="1">
      <alignment vertical="center" wrapText="1"/>
    </xf>
    <xf numFmtId="0" fontId="14" fillId="0" borderId="0" xfId="0" applyFont="1" applyAlignment="1">
      <alignment vertical="center" wrapText="1"/>
    </xf>
    <xf numFmtId="0" fontId="0" fillId="0" borderId="27" xfId="0" applyBorder="1" applyAlignment="1">
      <alignment vertical="center"/>
    </xf>
    <xf numFmtId="0" fontId="24" fillId="0" borderId="0" xfId="3" applyAlignment="1">
      <alignment vertical="center"/>
    </xf>
    <xf numFmtId="0" fontId="14" fillId="0" borderId="0" xfId="3" applyFont="1" applyAlignment="1">
      <alignment vertical="center"/>
    </xf>
    <xf numFmtId="0" fontId="14" fillId="0" borderId="0" xfId="3" applyFont="1" applyAlignment="1">
      <alignment vertical="center" wrapText="1"/>
    </xf>
    <xf numFmtId="0" fontId="0" fillId="0" borderId="0" xfId="0" applyBorder="1"/>
    <xf numFmtId="0" fontId="56" fillId="0" borderId="0" xfId="0" applyFont="1"/>
    <xf numFmtId="0" fontId="56" fillId="0" borderId="0" xfId="0" applyFont="1" applyAlignment="1">
      <alignment vertical="center"/>
    </xf>
    <xf numFmtId="0" fontId="54" fillId="0" borderId="0" xfId="1" applyFont="1" applyBorder="1" applyAlignment="1" applyProtection="1">
      <alignment horizontal="center"/>
    </xf>
    <xf numFmtId="0" fontId="54" fillId="3" borderId="0" xfId="1" applyFont="1" applyFill="1" applyBorder="1" applyAlignment="1" applyProtection="1">
      <alignment horizontal="center" vertical="center"/>
    </xf>
    <xf numFmtId="0" fontId="14" fillId="0" borderId="0" xfId="0" applyFont="1" applyBorder="1" applyAlignment="1">
      <alignment vertical="center" wrapText="1"/>
    </xf>
    <xf numFmtId="0" fontId="23" fillId="7" borderId="4" xfId="0" applyFont="1" applyFill="1" applyBorder="1" applyAlignment="1">
      <alignment horizontal="center" vertical="center"/>
    </xf>
    <xf numFmtId="0" fontId="57" fillId="0" borderId="0" xfId="0" applyFont="1" applyAlignment="1">
      <alignment vertical="center"/>
    </xf>
    <xf numFmtId="0" fontId="55" fillId="0" borderId="0" xfId="3" applyFont="1" applyFill="1" applyAlignment="1">
      <alignment vertical="center"/>
    </xf>
    <xf numFmtId="0" fontId="57" fillId="0" borderId="0" xfId="3" applyFont="1" applyFill="1" applyAlignment="1">
      <alignment vertical="center"/>
    </xf>
    <xf numFmtId="0" fontId="57" fillId="0" borderId="0" xfId="3" applyFont="1" applyAlignment="1">
      <alignment vertical="center"/>
    </xf>
    <xf numFmtId="0" fontId="30" fillId="0" borderId="0" xfId="0" applyFont="1" applyAlignment="1">
      <alignment wrapText="1"/>
    </xf>
    <xf numFmtId="0" fontId="0" fillId="0" borderId="0" xfId="0" applyBorder="1" applyAlignment="1">
      <alignment vertical="center"/>
    </xf>
    <xf numFmtId="0" fontId="24" fillId="0" borderId="0" xfId="0" quotePrefix="1" applyFont="1" applyBorder="1" applyAlignment="1">
      <alignment horizontal="center" vertical="center"/>
    </xf>
    <xf numFmtId="0" fontId="41" fillId="0" borderId="0" xfId="0" applyFont="1" applyAlignment="1">
      <alignment vertical="center"/>
    </xf>
    <xf numFmtId="0" fontId="24" fillId="0" borderId="0" xfId="0" applyFont="1" applyAlignment="1">
      <alignment vertical="center"/>
    </xf>
    <xf numFmtId="0" fontId="14" fillId="0" borderId="0" xfId="3" applyFont="1" applyFill="1" applyAlignment="1">
      <alignment vertical="center"/>
    </xf>
    <xf numFmtId="0" fontId="24" fillId="0" borderId="0" xfId="0" applyFont="1"/>
    <xf numFmtId="0" fontId="17" fillId="0" borderId="0" xfId="1" applyAlignment="1" applyProtection="1">
      <alignment horizontal="center"/>
    </xf>
    <xf numFmtId="0" fontId="17" fillId="3" borderId="0" xfId="1" applyFill="1" applyAlignment="1" applyProtection="1">
      <alignment horizontal="center" vertical="center"/>
    </xf>
    <xf numFmtId="0" fontId="24" fillId="0" borderId="4" xfId="0" applyFont="1" applyBorder="1" applyAlignment="1" applyProtection="1">
      <alignment vertical="center"/>
      <protection locked="0"/>
    </xf>
    <xf numFmtId="0" fontId="17" fillId="0" borderId="0" xfId="1" applyAlignment="1" applyProtection="1">
      <alignment horizontal="center" vertical="center"/>
    </xf>
    <xf numFmtId="0" fontId="12" fillId="0" borderId="0" xfId="0" applyFont="1" applyBorder="1" applyAlignment="1" applyProtection="1">
      <alignment horizontal="center" vertical="center"/>
      <protection hidden="1"/>
    </xf>
    <xf numFmtId="0" fontId="12" fillId="7" borderId="0" xfId="0" applyFont="1" applyFill="1" applyBorder="1" applyAlignment="1" applyProtection="1">
      <alignment horizontal="center" vertical="center"/>
      <protection hidden="1"/>
    </xf>
    <xf numFmtId="0" fontId="27" fillId="0" borderId="0" xfId="0" applyFont="1" applyAlignment="1" applyProtection="1">
      <alignment vertical="center"/>
    </xf>
    <xf numFmtId="0" fontId="15" fillId="7" borderId="0" xfId="0" applyFont="1" applyFill="1" applyAlignment="1" applyProtection="1">
      <alignment vertical="center"/>
    </xf>
    <xf numFmtId="0" fontId="15" fillId="7" borderId="0" xfId="0" applyFont="1" applyFill="1" applyAlignment="1" applyProtection="1">
      <alignment horizontal="left" vertical="center"/>
    </xf>
    <xf numFmtId="0" fontId="57" fillId="0" borderId="0" xfId="0" applyFont="1" applyAlignment="1" applyProtection="1">
      <alignment vertical="center"/>
    </xf>
    <xf numFmtId="0" fontId="0" fillId="0" borderId="0" xfId="0"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14" fillId="0" borderId="0" xfId="0" applyFont="1" applyBorder="1" applyAlignment="1">
      <alignment horizontal="justify" vertical="center" wrapText="1"/>
    </xf>
    <xf numFmtId="0" fontId="20" fillId="0" borderId="28" xfId="0" applyFont="1" applyFill="1" applyBorder="1" applyAlignment="1">
      <alignment vertical="center"/>
    </xf>
    <xf numFmtId="0" fontId="73" fillId="0" borderId="0" xfId="3" applyFont="1" applyFill="1" applyAlignment="1">
      <alignment vertical="center"/>
    </xf>
    <xf numFmtId="0" fontId="73" fillId="0" borderId="0" xfId="0" applyFont="1" applyAlignment="1">
      <alignment vertical="center"/>
    </xf>
    <xf numFmtId="0" fontId="27" fillId="0" borderId="0" xfId="0" applyFont="1" applyAlignment="1">
      <alignment vertical="center" wrapText="1"/>
    </xf>
    <xf numFmtId="0" fontId="73" fillId="0" borderId="0" xfId="3" applyFont="1" applyAlignment="1">
      <alignment vertical="center"/>
    </xf>
    <xf numFmtId="0" fontId="24" fillId="0" borderId="28" xfId="0" applyFont="1" applyBorder="1" applyAlignment="1">
      <alignment horizontal="justify" vertical="center" wrapText="1"/>
    </xf>
    <xf numFmtId="0" fontId="24" fillId="0" borderId="0" xfId="3" applyAlignment="1">
      <alignment vertical="center" wrapText="1"/>
    </xf>
    <xf numFmtId="0" fontId="23" fillId="7" borderId="4" xfId="0" applyFont="1" applyFill="1" applyBorder="1" applyAlignment="1">
      <alignment horizontal="center" vertical="center"/>
    </xf>
    <xf numFmtId="0" fontId="24" fillId="0" borderId="0" xfId="0" applyFont="1" applyBorder="1" applyAlignment="1" applyProtection="1">
      <alignment vertical="center" wrapText="1"/>
      <protection locked="0"/>
    </xf>
    <xf numFmtId="0" fontId="0" fillId="0" borderId="0" xfId="0" applyBorder="1" applyAlignment="1">
      <alignment vertical="center" wrapText="1"/>
    </xf>
    <xf numFmtId="0" fontId="14" fillId="0" borderId="0" xfId="0" applyFont="1" applyAlignment="1" applyProtection="1">
      <alignment vertical="center"/>
    </xf>
    <xf numFmtId="0" fontId="14" fillId="26" borderId="3" xfId="0" applyFont="1" applyFill="1" applyBorder="1" applyAlignment="1" applyProtection="1">
      <alignment horizontal="center" vertical="center" wrapText="1"/>
    </xf>
    <xf numFmtId="0" fontId="55" fillId="0" borderId="0" xfId="0" applyFont="1" applyAlignment="1" applyProtection="1">
      <alignment vertical="center"/>
    </xf>
    <xf numFmtId="0" fontId="0" fillId="0" borderId="0" xfId="0" applyProtection="1"/>
    <xf numFmtId="0" fontId="9" fillId="0" borderId="0" xfId="0" applyFont="1" applyProtection="1"/>
    <xf numFmtId="0" fontId="15" fillId="0" borderId="0" xfId="0" applyFont="1" applyBorder="1" applyAlignment="1" applyProtection="1">
      <alignment horizontal="center" wrapText="1"/>
    </xf>
    <xf numFmtId="0" fontId="0" fillId="0" borderId="0" xfId="0" applyAlignment="1">
      <alignment horizontal="center" wrapText="1"/>
    </xf>
    <xf numFmtId="0" fontId="27" fillId="6" borderId="0" xfId="0" applyFont="1" applyFill="1" applyAlignment="1">
      <alignment vertical="center"/>
    </xf>
    <xf numFmtId="0" fontId="23" fillId="6" borderId="0" xfId="0" applyFont="1" applyFill="1" applyBorder="1" applyAlignment="1">
      <alignment horizontal="center" vertical="center" wrapText="1"/>
    </xf>
    <xf numFmtId="0" fontId="24" fillId="6" borderId="0" xfId="0" applyFont="1" applyFill="1" applyAlignment="1">
      <alignment vertical="center"/>
    </xf>
    <xf numFmtId="0" fontId="21" fillId="0" borderId="0" xfId="0" applyFont="1" applyBorder="1" applyAlignment="1">
      <alignment vertical="center"/>
    </xf>
    <xf numFmtId="0" fontId="48" fillId="0" borderId="0" xfId="0" applyFont="1" applyBorder="1" applyAlignment="1">
      <alignment horizontal="left" vertical="center" wrapText="1" indent="3"/>
    </xf>
    <xf numFmtId="0" fontId="21" fillId="0" borderId="0" xfId="0" applyFont="1" applyAlignment="1">
      <alignment vertical="center"/>
    </xf>
    <xf numFmtId="0" fontId="30" fillId="0" borderId="0" xfId="0" applyFont="1" applyBorder="1" applyAlignment="1">
      <alignment horizontal="center" wrapText="1"/>
    </xf>
    <xf numFmtId="0" fontId="30" fillId="0" borderId="0" xfId="0" applyFont="1" applyAlignment="1">
      <alignment horizontal="center" wrapText="1"/>
    </xf>
    <xf numFmtId="0" fontId="80" fillId="0" borderId="0" xfId="0" applyFont="1" applyBorder="1" applyAlignment="1" applyProtection="1">
      <alignment horizontal="center" vertical="center" wrapText="1"/>
    </xf>
    <xf numFmtId="0" fontId="23" fillId="7" borderId="4" xfId="0" applyFont="1" applyFill="1" applyBorder="1" applyAlignment="1">
      <alignment horizontal="center" vertical="center"/>
    </xf>
    <xf numFmtId="1" fontId="22" fillId="26" borderId="4" xfId="0" applyNumberFormat="1" applyFont="1" applyFill="1" applyBorder="1" applyAlignment="1" applyProtection="1">
      <alignment horizontal="center" vertical="center" wrapText="1"/>
      <protection locked="0" hidden="1"/>
    </xf>
    <xf numFmtId="0" fontId="22" fillId="26" borderId="4" xfId="0" applyFont="1" applyFill="1" applyBorder="1" applyAlignment="1" applyProtection="1">
      <alignment horizontal="center" vertical="center"/>
      <protection locked="0" hidden="1"/>
    </xf>
    <xf numFmtId="0" fontId="21" fillId="26" borderId="21" xfId="0" applyFont="1" applyFill="1" applyBorder="1" applyAlignment="1" applyProtection="1">
      <alignment horizontal="center" vertical="center" wrapText="1"/>
    </xf>
    <xf numFmtId="0" fontId="26" fillId="8" borderId="0" xfId="0" applyFont="1" applyFill="1" applyAlignment="1" applyProtection="1">
      <alignment horizontal="left" vertical="center"/>
      <protection hidden="1"/>
    </xf>
    <xf numFmtId="0" fontId="26" fillId="8" borderId="0" xfId="0" applyFont="1" applyFill="1" applyBorder="1" applyAlignment="1" applyProtection="1">
      <alignment horizontal="left" vertical="center"/>
      <protection hidden="1"/>
    </xf>
    <xf numFmtId="0" fontId="54" fillId="0" borderId="0" xfId="1" applyFont="1" applyBorder="1" applyAlignment="1" applyProtection="1">
      <alignment horizontal="center" vertical="center"/>
    </xf>
    <xf numFmtId="0" fontId="21" fillId="0" borderId="21" xfId="0" applyFont="1" applyFill="1" applyBorder="1" applyAlignment="1">
      <alignment horizontal="left" vertical="center"/>
    </xf>
    <xf numFmtId="0" fontId="31" fillId="0" borderId="0" xfId="0" applyFont="1" applyFill="1" applyAlignment="1">
      <alignment horizontal="center" vertical="top" wrapText="1"/>
    </xf>
    <xf numFmtId="0" fontId="27" fillId="0" borderId="0" xfId="0" applyFont="1" applyAlignment="1">
      <alignment horizontal="center" vertical="top"/>
    </xf>
    <xf numFmtId="0" fontId="16" fillId="4" borderId="0" xfId="0" applyFont="1" applyFill="1" applyAlignment="1" applyProtection="1">
      <alignment horizontal="left" vertical="center"/>
      <protection hidden="1"/>
    </xf>
    <xf numFmtId="0" fontId="21" fillId="0" borderId="0" xfId="0" applyFont="1"/>
    <xf numFmtId="0" fontId="24" fillId="0" borderId="0" xfId="3" applyAlignment="1" applyProtection="1">
      <alignment vertical="center"/>
      <protection hidden="1"/>
    </xf>
    <xf numFmtId="0" fontId="77" fillId="0" borderId="0" xfId="3" applyFont="1" applyAlignment="1">
      <alignment vertical="center"/>
    </xf>
    <xf numFmtId="0" fontId="14" fillId="0" borderId="0" xfId="0" applyFont="1" applyBorder="1" applyAlignment="1" applyProtection="1">
      <alignment horizontal="center" wrapText="1"/>
    </xf>
    <xf numFmtId="0" fontId="0" fillId="0" borderId="0" xfId="0" applyNumberFormat="1" applyAlignment="1" applyProtection="1">
      <alignment vertical="center" wrapText="1"/>
      <protection hidden="1"/>
    </xf>
    <xf numFmtId="0" fontId="17" fillId="0" borderId="0" xfId="1" applyNumberFormat="1" applyAlignment="1" applyProtection="1">
      <alignment horizontal="center"/>
    </xf>
    <xf numFmtId="0" fontId="0" fillId="0" borderId="0" xfId="0" applyNumberFormat="1" applyAlignment="1">
      <alignment wrapText="1"/>
    </xf>
    <xf numFmtId="0" fontId="28" fillId="6" borderId="0" xfId="0" applyNumberFormat="1" applyFont="1" applyFill="1" applyAlignment="1">
      <alignment vertical="center" wrapText="1"/>
    </xf>
    <xf numFmtId="0" fontId="25" fillId="0" borderId="0" xfId="0" applyNumberFormat="1" applyFont="1"/>
    <xf numFmtId="0" fontId="0" fillId="0" borderId="0" xfId="0" applyNumberFormat="1" applyBorder="1" applyAlignment="1" applyProtection="1">
      <alignment wrapText="1"/>
      <protection locked="0"/>
    </xf>
    <xf numFmtId="0" fontId="14" fillId="0" borderId="0" xfId="0" applyNumberFormat="1" applyFont="1" applyBorder="1" applyAlignment="1">
      <alignment vertical="center" wrapText="1"/>
    </xf>
    <xf numFmtId="0" fontId="0" fillId="0" borderId="0" xfId="0" applyNumberFormat="1"/>
    <xf numFmtId="0" fontId="0" fillId="0" borderId="0" xfId="0" applyNumberFormat="1" applyAlignment="1">
      <alignment vertical="center"/>
    </xf>
    <xf numFmtId="0" fontId="0" fillId="6" borderId="0" xfId="0" applyNumberFormat="1" applyFill="1" applyBorder="1" applyAlignment="1">
      <alignment horizontal="center" wrapText="1"/>
    </xf>
    <xf numFmtId="0" fontId="14" fillId="6" borderId="0" xfId="0" applyNumberFormat="1" applyFont="1" applyFill="1" applyBorder="1" applyAlignment="1">
      <alignment horizontal="center" vertical="center" wrapText="1"/>
    </xf>
    <xf numFmtId="0" fontId="0" fillId="6" borderId="0" xfId="0" applyNumberFormat="1" applyFill="1" applyBorder="1" applyAlignment="1">
      <alignment horizontal="center" vertical="center" wrapText="1"/>
    </xf>
    <xf numFmtId="0" fontId="0" fillId="6" borderId="0" xfId="0" applyNumberFormat="1" applyFill="1" applyBorder="1" applyAlignment="1">
      <alignment vertical="center" wrapText="1"/>
    </xf>
    <xf numFmtId="1" fontId="22" fillId="0" borderId="4" xfId="0" applyNumberFormat="1" applyFont="1" applyFill="1" applyBorder="1" applyAlignment="1" applyProtection="1">
      <alignment horizontal="center" vertical="center" wrapText="1"/>
      <protection locked="0"/>
    </xf>
    <xf numFmtId="1" fontId="22" fillId="3" borderId="4" xfId="0"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4" fillId="0" borderId="0" xfId="0" applyFont="1" applyAlignment="1" applyProtection="1">
      <alignment vertical="center"/>
      <protection hidden="1"/>
    </xf>
    <xf numFmtId="0" fontId="23" fillId="7" borderId="4" xfId="0" applyFont="1" applyFill="1" applyBorder="1" applyAlignment="1">
      <alignment horizontal="center" vertical="center"/>
    </xf>
    <xf numFmtId="0" fontId="24" fillId="0" borderId="0" xfId="3" applyAlignment="1">
      <alignment vertical="center" wrapText="1"/>
    </xf>
    <xf numFmtId="0" fontId="24" fillId="0" borderId="0" xfId="3" applyFont="1" applyBorder="1" applyAlignment="1">
      <alignment vertical="center" wrapText="1"/>
    </xf>
    <xf numFmtId="0" fontId="28" fillId="0" borderId="0" xfId="3" applyFont="1" applyFill="1" applyBorder="1" applyAlignment="1">
      <alignment vertical="center" wrapText="1"/>
    </xf>
    <xf numFmtId="0" fontId="17" fillId="0" borderId="0" xfId="1" applyAlignment="1" applyProtection="1">
      <alignment horizontal="right" vertical="center"/>
    </xf>
    <xf numFmtId="0" fontId="17" fillId="0" borderId="0" xfId="1" applyAlignment="1" applyProtection="1">
      <alignment horizontal="left" vertical="center"/>
    </xf>
    <xf numFmtId="0" fontId="24" fillId="0" borderId="0" xfId="0" applyFont="1" applyBorder="1" applyAlignment="1" applyProtection="1">
      <alignment horizontal="center" vertical="center" wrapText="1"/>
      <protection locked="0"/>
    </xf>
    <xf numFmtId="0" fontId="10" fillId="3" borderId="0" xfId="0" applyFont="1" applyFill="1" applyAlignment="1" applyProtection="1">
      <alignment vertical="center" wrapText="1"/>
    </xf>
    <xf numFmtId="0" fontId="16" fillId="4" borderId="0" xfId="3" applyFont="1" applyFill="1" applyAlignment="1">
      <alignment vertical="center"/>
    </xf>
    <xf numFmtId="0" fontId="24" fillId="4" borderId="0" xfId="3" applyFill="1" applyAlignment="1">
      <alignment vertical="center"/>
    </xf>
    <xf numFmtId="0" fontId="15" fillId="4" borderId="0" xfId="3" applyFont="1" applyFill="1" applyAlignment="1">
      <alignment vertical="center"/>
    </xf>
    <xf numFmtId="0" fontId="24" fillId="0" borderId="0" xfId="3"/>
    <xf numFmtId="0" fontId="17" fillId="0" borderId="0" xfId="1" applyAlignment="1" applyProtection="1">
      <alignment horizontal="center"/>
      <protection locked="0"/>
    </xf>
    <xf numFmtId="0" fontId="28" fillId="0" borderId="0" xfId="0" applyFont="1" applyFill="1" applyAlignment="1">
      <alignment vertical="center" wrapText="1"/>
    </xf>
    <xf numFmtId="0" fontId="12" fillId="4" borderId="0" xfId="3" applyFont="1" applyFill="1" applyBorder="1" applyAlignment="1">
      <alignment horizontal="center" vertical="center"/>
    </xf>
    <xf numFmtId="0" fontId="10" fillId="5" borderId="0" xfId="3" applyFont="1" applyFill="1" applyAlignment="1">
      <alignment vertical="center"/>
    </xf>
    <xf numFmtId="0" fontId="9" fillId="0" borderId="0" xfId="3" applyFont="1"/>
    <xf numFmtId="0" fontId="119" fillId="0" borderId="0" xfId="3" applyFont="1" applyFill="1" applyBorder="1" applyAlignment="1" applyProtection="1">
      <alignment horizontal="center" vertical="center" wrapText="1"/>
      <protection hidden="1"/>
    </xf>
    <xf numFmtId="0" fontId="32" fillId="7" borderId="43" xfId="3" applyFont="1" applyFill="1" applyBorder="1" applyAlignment="1">
      <alignment horizontal="center" vertical="center" wrapText="1"/>
    </xf>
    <xf numFmtId="0" fontId="32" fillId="7" borderId="43" xfId="3" applyFont="1" applyFill="1" applyBorder="1" applyAlignment="1">
      <alignment vertical="center" wrapText="1"/>
    </xf>
    <xf numFmtId="0" fontId="61" fillId="0" borderId="0" xfId="3" applyFont="1" applyAlignment="1" applyProtection="1">
      <alignment horizontal="center" vertical="center" wrapText="1"/>
      <protection hidden="1"/>
    </xf>
    <xf numFmtId="0" fontId="58" fillId="0" borderId="32" xfId="3" applyFont="1" applyBorder="1" applyAlignment="1" applyProtection="1">
      <alignment vertical="center" wrapText="1"/>
    </xf>
    <xf numFmtId="0" fontId="58" fillId="0" borderId="33" xfId="3" applyFont="1" applyBorder="1" applyAlignment="1" applyProtection="1">
      <alignment horizontal="left" vertical="center" wrapText="1"/>
      <protection locked="0"/>
    </xf>
    <xf numFmtId="0" fontId="58" fillId="0" borderId="0" xfId="3" applyFont="1" applyAlignment="1" applyProtection="1">
      <alignment vertical="center" wrapText="1"/>
      <protection hidden="1"/>
    </xf>
    <xf numFmtId="0" fontId="58" fillId="0" borderId="29" xfId="3" applyFont="1" applyBorder="1" applyAlignment="1" applyProtection="1">
      <alignment vertical="center" wrapText="1"/>
    </xf>
    <xf numFmtId="0" fontId="58" fillId="0" borderId="30" xfId="3" applyFont="1" applyBorder="1" applyAlignment="1" applyProtection="1">
      <alignment horizontal="left" vertical="center" wrapText="1"/>
      <protection locked="0"/>
    </xf>
    <xf numFmtId="0" fontId="24" fillId="0" borderId="0" xfId="3" applyFill="1" applyBorder="1" applyAlignment="1" applyProtection="1">
      <alignment vertical="center"/>
      <protection hidden="1"/>
    </xf>
    <xf numFmtId="0" fontId="24" fillId="0" borderId="0" xfId="3" applyFill="1" applyBorder="1"/>
    <xf numFmtId="0" fontId="23" fillId="0" borderId="4" xfId="0" applyFont="1" applyBorder="1" applyAlignment="1" applyProtection="1">
      <alignment horizontal="center" vertical="center" wrapText="1"/>
      <protection locked="0"/>
    </xf>
    <xf numFmtId="0" fontId="28" fillId="5" borderId="0" xfId="0" applyFont="1" applyFill="1" applyAlignment="1" applyProtection="1">
      <alignment horizontal="left" vertical="center" wrapText="1"/>
    </xf>
    <xf numFmtId="0" fontId="23" fillId="0" borderId="0" xfId="0" applyFont="1" applyFill="1" applyBorder="1" applyAlignment="1">
      <alignment horizontal="left" vertical="top" wrapText="1"/>
    </xf>
    <xf numFmtId="0" fontId="24" fillId="0" borderId="0" xfId="0" applyFont="1" applyAlignment="1">
      <alignment horizontal="left" vertical="center"/>
    </xf>
    <xf numFmtId="0" fontId="122" fillId="0" borderId="0" xfId="0" applyFont="1" applyAlignment="1" applyProtection="1">
      <alignment vertical="center"/>
    </xf>
    <xf numFmtId="0" fontId="14" fillId="0" borderId="0" xfId="0" applyFont="1" applyBorder="1" applyAlignment="1">
      <alignment horizontal="left" vertical="center" wrapText="1"/>
    </xf>
    <xf numFmtId="0" fontId="24" fillId="0" borderId="0" xfId="3" applyAlignment="1">
      <alignment vertical="center" wrapText="1"/>
    </xf>
    <xf numFmtId="0" fontId="24" fillId="0" borderId="0" xfId="3" applyFont="1" applyBorder="1" applyAlignment="1">
      <alignment vertical="center" wrapText="1"/>
    </xf>
    <xf numFmtId="0" fontId="47" fillId="0" borderId="0" xfId="3" quotePrefix="1" applyFont="1" applyAlignment="1">
      <alignment horizontal="left" vertical="center" wrapText="1"/>
    </xf>
    <xf numFmtId="0" fontId="28" fillId="5" borderId="0" xfId="0" applyFont="1" applyFill="1" applyAlignment="1" applyProtection="1">
      <alignment horizontal="left" vertical="center" wrapText="1"/>
    </xf>
    <xf numFmtId="0" fontId="27" fillId="0" borderId="4" xfId="0" applyFont="1" applyBorder="1" applyAlignment="1" applyProtection="1">
      <alignment horizontal="center" vertical="center"/>
      <protection locked="0"/>
    </xf>
    <xf numFmtId="0" fontId="14" fillId="0" borderId="0" xfId="3" applyFont="1" applyAlignment="1" applyProtection="1">
      <alignment vertical="center" wrapText="1"/>
      <protection hidden="1"/>
    </xf>
    <xf numFmtId="0" fontId="14" fillId="0" borderId="0" xfId="3" applyFont="1" applyAlignment="1" applyProtection="1">
      <alignment vertical="center"/>
      <protection hidden="1"/>
    </xf>
    <xf numFmtId="0" fontId="21" fillId="0" borderId="0" xfId="3" applyFont="1" applyFill="1" applyBorder="1" applyAlignment="1" applyProtection="1">
      <alignment horizontal="center" vertical="center" wrapText="1"/>
      <protection hidden="1"/>
    </xf>
    <xf numFmtId="0" fontId="55" fillId="0" borderId="0" xfId="3" applyFont="1" applyFill="1" applyAlignment="1" applyProtection="1">
      <alignment vertical="center"/>
      <protection hidden="1"/>
    </xf>
    <xf numFmtId="0" fontId="21" fillId="2" borderId="16" xfId="3" applyFont="1" applyFill="1" applyBorder="1" applyAlignment="1" applyProtection="1">
      <alignment horizontal="center" vertical="center" wrapText="1"/>
      <protection hidden="1"/>
    </xf>
    <xf numFmtId="0" fontId="21" fillId="2" borderId="4" xfId="3" applyFont="1" applyFill="1" applyBorder="1" applyAlignment="1" applyProtection="1">
      <alignment horizontal="center" vertical="center" wrapText="1"/>
      <protection hidden="1"/>
    </xf>
    <xf numFmtId="0" fontId="21" fillId="21" borderId="4" xfId="3" applyFont="1" applyFill="1" applyBorder="1" applyAlignment="1" applyProtection="1">
      <alignment horizontal="center" vertical="center"/>
      <protection hidden="1"/>
    </xf>
    <xf numFmtId="164" fontId="14" fillId="26" borderId="4" xfId="3" applyNumberFormat="1" applyFont="1" applyFill="1" applyBorder="1" applyAlignment="1" applyProtection="1">
      <alignment horizontal="center" vertical="center"/>
      <protection hidden="1"/>
    </xf>
    <xf numFmtId="0" fontId="14" fillId="26" borderId="4" xfId="3" applyFont="1" applyFill="1" applyBorder="1" applyAlignment="1" applyProtection="1">
      <alignment horizontal="center" vertical="center"/>
      <protection hidden="1"/>
    </xf>
    <xf numFmtId="0" fontId="14" fillId="0" borderId="0" xfId="3" applyFont="1" applyFill="1" applyBorder="1" applyAlignment="1" applyProtection="1">
      <alignment horizontal="center" vertical="center"/>
      <protection hidden="1"/>
    </xf>
    <xf numFmtId="0" fontId="14" fillId="0" borderId="0" xfId="3" applyFont="1" applyFill="1" applyAlignment="1" applyProtection="1">
      <alignment vertical="center"/>
      <protection hidden="1"/>
    </xf>
    <xf numFmtId="0" fontId="74" fillId="0" borderId="0" xfId="3" applyFont="1" applyAlignment="1" applyProtection="1">
      <alignment vertical="center"/>
      <protection hidden="1"/>
    </xf>
    <xf numFmtId="0" fontId="21" fillId="2" borderId="5" xfId="3" applyFont="1" applyFill="1" applyBorder="1" applyAlignment="1" applyProtection="1">
      <alignment horizontal="center" vertical="center" wrapText="1"/>
      <protection hidden="1"/>
    </xf>
    <xf numFmtId="0" fontId="14" fillId="0" borderId="4" xfId="3" applyFont="1" applyFill="1" applyBorder="1" applyAlignment="1" applyProtection="1">
      <alignment horizontal="center" vertical="center"/>
      <protection locked="0"/>
    </xf>
    <xf numFmtId="0" fontId="42" fillId="0" borderId="0" xfId="3" quotePrefix="1" applyFont="1" applyAlignment="1">
      <alignment horizontal="left" vertical="center" wrapText="1"/>
    </xf>
    <xf numFmtId="0" fontId="27" fillId="0" borderId="0" xfId="3" applyFont="1" applyAlignment="1" applyProtection="1">
      <alignment vertical="center" wrapText="1"/>
      <protection hidden="1"/>
    </xf>
    <xf numFmtId="0" fontId="57" fillId="0" borderId="0" xfId="3" applyFont="1" applyFill="1" applyAlignment="1" applyProtection="1">
      <alignment vertical="center"/>
      <protection hidden="1"/>
    </xf>
    <xf numFmtId="0" fontId="21" fillId="21" borderId="3" xfId="3" applyFont="1" applyFill="1" applyBorder="1" applyAlignment="1" applyProtection="1">
      <alignment horizontal="center" vertical="center"/>
      <protection hidden="1"/>
    </xf>
    <xf numFmtId="0" fontId="14" fillId="26" borderId="3" xfId="3" applyFont="1" applyFill="1" applyBorder="1" applyAlignment="1" applyProtection="1">
      <alignment horizontal="center" vertical="center"/>
      <protection hidden="1"/>
    </xf>
    <xf numFmtId="0" fontId="21" fillId="21" borderId="5" xfId="3" applyFont="1" applyFill="1" applyBorder="1" applyAlignment="1" applyProtection="1">
      <alignment horizontal="center" vertical="center"/>
      <protection hidden="1"/>
    </xf>
    <xf numFmtId="0" fontId="21" fillId="57" borderId="21" xfId="3" applyFont="1" applyFill="1" applyBorder="1" applyAlignment="1" applyProtection="1">
      <alignment horizontal="center" vertical="center" wrapText="1"/>
      <protection hidden="1"/>
    </xf>
    <xf numFmtId="0" fontId="21" fillId="22" borderId="3" xfId="3" applyFont="1" applyFill="1" applyBorder="1" applyAlignment="1" applyProtection="1">
      <alignment horizontal="center" vertical="center"/>
      <protection hidden="1"/>
    </xf>
    <xf numFmtId="0" fontId="21" fillId="22" borderId="4" xfId="3" applyFont="1" applyFill="1" applyBorder="1" applyAlignment="1" applyProtection="1">
      <alignment horizontal="center" vertical="center"/>
      <protection hidden="1"/>
    </xf>
    <xf numFmtId="0" fontId="21" fillId="22" borderId="5" xfId="3" applyFont="1" applyFill="1" applyBorder="1" applyAlignment="1" applyProtection="1">
      <alignment horizontal="center" vertical="center"/>
      <protection hidden="1"/>
    </xf>
    <xf numFmtId="0" fontId="21" fillId="58" borderId="3" xfId="3" applyFont="1" applyFill="1" applyBorder="1" applyAlignment="1" applyProtection="1">
      <alignment horizontal="center" vertical="center" wrapText="1"/>
      <protection hidden="1"/>
    </xf>
    <xf numFmtId="0" fontId="14" fillId="0" borderId="5" xfId="3" applyFont="1" applyBorder="1" applyAlignment="1" applyProtection="1">
      <alignment horizontal="center" vertical="center"/>
      <protection locked="0"/>
    </xf>
    <xf numFmtId="0" fontId="14" fillId="0" borderId="21"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21" fillId="26" borderId="3" xfId="3" applyFont="1" applyFill="1" applyBorder="1" applyAlignment="1" applyProtection="1">
      <alignment horizontal="center" vertical="center" wrapText="1"/>
      <protection hidden="1"/>
    </xf>
    <xf numFmtId="0" fontId="14" fillId="26" borderId="4" xfId="0" applyFont="1" applyFill="1" applyBorder="1" applyAlignment="1" applyProtection="1">
      <alignment horizontal="center" vertical="center" wrapText="1"/>
      <protection hidden="1"/>
    </xf>
    <xf numFmtId="0" fontId="21" fillId="25" borderId="4" xfId="3" applyFont="1" applyFill="1" applyBorder="1" applyAlignment="1" applyProtection="1">
      <alignment horizontal="center" vertical="center"/>
      <protection hidden="1"/>
    </xf>
    <xf numFmtId="0" fontId="21" fillId="24" borderId="4" xfId="3" applyFont="1" applyFill="1" applyBorder="1" applyAlignment="1" applyProtection="1">
      <alignment horizontal="center" vertical="center"/>
      <protection hidden="1"/>
    </xf>
    <xf numFmtId="0" fontId="21" fillId="23" borderId="4" xfId="3" applyFont="1" applyFill="1" applyBorder="1" applyAlignment="1" applyProtection="1">
      <alignment horizontal="center" vertical="center"/>
      <protection hidden="1"/>
    </xf>
    <xf numFmtId="0" fontId="21" fillId="57" borderId="4" xfId="3" applyFont="1" applyFill="1" applyBorder="1" applyAlignment="1" applyProtection="1">
      <alignment horizontal="center" vertical="center" wrapText="1"/>
      <protection hidden="1"/>
    </xf>
    <xf numFmtId="0" fontId="27" fillId="28" borderId="4" xfId="0" applyFont="1" applyFill="1" applyBorder="1" applyAlignment="1" applyProtection="1">
      <alignment horizontal="center" vertical="center"/>
      <protection locked="0"/>
    </xf>
    <xf numFmtId="0" fontId="23" fillId="0" borderId="7"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5" fillId="0" borderId="0" xfId="0" applyFont="1" applyAlignment="1" applyProtection="1">
      <alignment vertical="center"/>
      <protection hidden="1"/>
    </xf>
    <xf numFmtId="0" fontId="42" fillId="0" borderId="7" xfId="0" applyFont="1" applyFill="1" applyBorder="1" applyAlignment="1" applyProtection="1">
      <alignment vertical="center" wrapText="1"/>
      <protection hidden="1"/>
    </xf>
    <xf numFmtId="0" fontId="27" fillId="0" borderId="7" xfId="0" applyFont="1" applyFill="1" applyBorder="1" applyAlignment="1" applyProtection="1">
      <alignment vertical="center" wrapText="1"/>
      <protection hidden="1"/>
    </xf>
    <xf numFmtId="0" fontId="22" fillId="0" borderId="0" xfId="0" applyFont="1" applyAlignment="1" applyProtection="1">
      <alignment vertical="center"/>
      <protection hidden="1"/>
    </xf>
    <xf numFmtId="0" fontId="25" fillId="2" borderId="4" xfId="0" applyFont="1" applyFill="1" applyBorder="1" applyAlignment="1" applyProtection="1">
      <alignment horizontal="center" vertical="center"/>
      <protection hidden="1"/>
    </xf>
    <xf numFmtId="10" fontId="27" fillId="0" borderId="7" xfId="0" applyNumberFormat="1" applyFont="1" applyFill="1" applyBorder="1" applyAlignment="1" applyProtection="1">
      <alignment vertical="center" wrapText="1"/>
      <protection hidden="1"/>
    </xf>
    <xf numFmtId="0" fontId="25" fillId="2" borderId="5" xfId="0" applyFont="1" applyFill="1" applyBorder="1" applyAlignment="1" applyProtection="1">
      <alignment horizontal="center" vertical="center"/>
      <protection hidden="1"/>
    </xf>
    <xf numFmtId="0" fontId="24" fillId="2" borderId="4" xfId="0" applyFont="1"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wrapText="1"/>
      <protection hidden="1"/>
    </xf>
    <xf numFmtId="0" fontId="42" fillId="0" borderId="0" xfId="0" applyFont="1" applyFill="1" applyBorder="1" applyAlignment="1" applyProtection="1">
      <alignment vertical="center" wrapText="1"/>
      <protection hidden="1"/>
    </xf>
    <xf numFmtId="0" fontId="14" fillId="2" borderId="4"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protection hidden="1"/>
    </xf>
    <xf numFmtId="10" fontId="14" fillId="26" borderId="4" xfId="0" applyNumberFormat="1" applyFont="1" applyFill="1" applyBorder="1" applyAlignment="1" applyProtection="1">
      <alignment horizontal="center" vertical="center" wrapText="1"/>
      <protection hidden="1"/>
    </xf>
    <xf numFmtId="0" fontId="27" fillId="26" borderId="4" xfId="0" applyFont="1" applyFill="1" applyBorder="1" applyAlignment="1" applyProtection="1">
      <alignment horizontal="center" vertical="center" wrapText="1"/>
      <protection hidden="1"/>
    </xf>
    <xf numFmtId="10" fontId="27" fillId="0" borderId="0" xfId="0" applyNumberFormat="1" applyFont="1" applyFill="1" applyBorder="1" applyAlignment="1" applyProtection="1">
      <alignment horizontal="center" vertical="center" wrapText="1"/>
      <protection hidden="1"/>
    </xf>
    <xf numFmtId="0" fontId="14" fillId="0" borderId="0" xfId="0" applyFont="1" applyAlignment="1" applyProtection="1">
      <alignment vertical="center"/>
      <protection hidden="1"/>
    </xf>
    <xf numFmtId="0" fontId="27"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wrapText="1"/>
      <protection hidden="1"/>
    </xf>
    <xf numFmtId="0" fontId="27" fillId="2" borderId="0" xfId="0" applyFont="1" applyFill="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wrapText="1"/>
      <protection hidden="1"/>
    </xf>
    <xf numFmtId="10" fontId="27" fillId="2" borderId="4" xfId="0" applyNumberFormat="1" applyFont="1" applyFill="1" applyBorder="1" applyAlignment="1" applyProtection="1">
      <alignment horizontal="center" vertical="center" wrapText="1"/>
      <protection hidden="1"/>
    </xf>
    <xf numFmtId="0" fontId="27" fillId="28" borderId="4" xfId="0" applyFont="1" applyFill="1" applyBorder="1" applyAlignment="1" applyProtection="1">
      <alignment horizontal="center" vertical="center" wrapText="1"/>
      <protection locked="0"/>
    </xf>
    <xf numFmtId="2" fontId="14" fillId="26" borderId="4" xfId="0" applyNumberFormat="1" applyFont="1" applyFill="1" applyBorder="1" applyAlignment="1" applyProtection="1">
      <alignment horizontal="center" vertical="center" wrapText="1"/>
      <protection hidden="1"/>
    </xf>
    <xf numFmtId="0" fontId="22" fillId="2" borderId="4" xfId="0" applyNumberFormat="1" applyFont="1" applyFill="1" applyBorder="1" applyAlignment="1" applyProtection="1">
      <alignment horizontal="center" vertical="center" wrapText="1"/>
      <protection hidden="1"/>
    </xf>
    <xf numFmtId="2" fontId="14"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0" fillId="0" borderId="0" xfId="0" applyFill="1" applyProtection="1">
      <protection hidden="1"/>
    </xf>
    <xf numFmtId="0" fontId="22" fillId="2" borderId="3" xfId="0" applyFont="1" applyFill="1" applyBorder="1" applyAlignment="1" applyProtection="1">
      <alignment horizontal="center" vertical="center" wrapText="1"/>
      <protection hidden="1"/>
    </xf>
    <xf numFmtId="0" fontId="22" fillId="2" borderId="4" xfId="0" applyFont="1" applyFill="1" applyBorder="1" applyAlignment="1" applyProtection="1">
      <alignment horizontal="center" vertical="center"/>
      <protection hidden="1"/>
    </xf>
    <xf numFmtId="0" fontId="0" fillId="0" borderId="0" xfId="0" applyProtection="1">
      <protection hidden="1"/>
    </xf>
    <xf numFmtId="0" fontId="14"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25" fillId="0" borderId="0" xfId="0" applyFont="1" applyProtection="1">
      <protection hidden="1"/>
    </xf>
    <xf numFmtId="0" fontId="24" fillId="0" borderId="0" xfId="0" applyFont="1" applyBorder="1" applyAlignment="1" applyProtection="1">
      <alignment vertical="center" wrapText="1"/>
      <protection hidden="1"/>
    </xf>
    <xf numFmtId="0" fontId="0" fillId="0" borderId="0" xfId="0" applyBorder="1" applyAlignment="1" applyProtection="1">
      <alignment wrapText="1"/>
      <protection hidden="1"/>
    </xf>
    <xf numFmtId="0" fontId="0" fillId="7" borderId="4" xfId="0" applyFill="1" applyBorder="1" applyAlignment="1" applyProtection="1">
      <alignment horizontal="center" vertical="center"/>
      <protection hidden="1"/>
    </xf>
    <xf numFmtId="164" fontId="22" fillId="26" borderId="4" xfId="0" applyNumberFormat="1" applyFont="1" applyFill="1" applyBorder="1" applyAlignment="1" applyProtection="1">
      <alignment horizontal="center" vertical="center" wrapText="1"/>
      <protection hidden="1"/>
    </xf>
    <xf numFmtId="0" fontId="22" fillId="6" borderId="0" xfId="0" applyNumberFormat="1" applyFont="1" applyFill="1" applyBorder="1" applyAlignment="1" applyProtection="1">
      <alignment horizontal="center" vertical="center" wrapText="1"/>
      <protection hidden="1"/>
    </xf>
    <xf numFmtId="0" fontId="74" fillId="0" borderId="0" xfId="0" applyFont="1" applyAlignment="1" applyProtection="1">
      <alignment vertical="center"/>
      <protection hidden="1"/>
    </xf>
    <xf numFmtId="0" fontId="42" fillId="0" borderId="0" xfId="0" applyFont="1" applyAlignment="1">
      <alignment vertical="center"/>
    </xf>
    <xf numFmtId="0" fontId="16" fillId="8" borderId="0" xfId="67" applyFont="1" applyFill="1" applyAlignment="1" applyProtection="1">
      <alignment vertical="center"/>
      <protection hidden="1"/>
    </xf>
    <xf numFmtId="0" fontId="24" fillId="8" borderId="0" xfId="67" applyFont="1" applyFill="1" applyAlignment="1" applyProtection="1">
      <alignment vertical="center"/>
      <protection hidden="1"/>
    </xf>
    <xf numFmtId="0" fontId="15" fillId="8" borderId="0" xfId="67" applyFont="1" applyFill="1" applyAlignment="1" applyProtection="1">
      <alignment vertical="center"/>
      <protection hidden="1"/>
    </xf>
    <xf numFmtId="0" fontId="15" fillId="8" borderId="0" xfId="67" applyFont="1" applyFill="1" applyAlignment="1" applyProtection="1">
      <alignment horizontal="left" vertical="center"/>
      <protection hidden="1"/>
    </xf>
    <xf numFmtId="0" fontId="16" fillId="8" borderId="0" xfId="67" applyFont="1" applyFill="1" applyBorder="1" applyAlignment="1" applyProtection="1">
      <alignment horizontal="center" vertical="center"/>
      <protection hidden="1"/>
    </xf>
    <xf numFmtId="0" fontId="24" fillId="6" borderId="0" xfId="67" applyFont="1" applyFill="1" applyAlignment="1" applyProtection="1">
      <alignment vertical="center"/>
      <protection hidden="1"/>
    </xf>
    <xf numFmtId="0" fontId="2" fillId="6" borderId="0" xfId="67" applyFill="1" applyAlignment="1" applyProtection="1">
      <alignment vertical="center"/>
      <protection hidden="1"/>
    </xf>
    <xf numFmtId="0" fontId="76" fillId="6" borderId="0" xfId="67" applyFont="1" applyFill="1" applyAlignment="1" applyProtection="1">
      <alignment vertical="center"/>
      <protection hidden="1"/>
    </xf>
    <xf numFmtId="0" fontId="2" fillId="6" borderId="0" xfId="67" applyFill="1" applyProtection="1">
      <protection hidden="1"/>
    </xf>
    <xf numFmtId="0" fontId="76" fillId="6" borderId="0" xfId="67" applyFont="1" applyFill="1" applyProtection="1">
      <protection hidden="1"/>
    </xf>
    <xf numFmtId="0" fontId="58" fillId="9" borderId="3" xfId="67" applyFont="1" applyFill="1" applyBorder="1" applyAlignment="1" applyProtection="1">
      <alignment horizontal="center" vertical="center" wrapText="1"/>
      <protection hidden="1"/>
    </xf>
    <xf numFmtId="0" fontId="58" fillId="9" borderId="3" xfId="67" applyFont="1" applyFill="1" applyBorder="1" applyAlignment="1" applyProtection="1">
      <alignment horizontal="center" textRotation="90" wrapText="1"/>
      <protection hidden="1"/>
    </xf>
    <xf numFmtId="0" fontId="58" fillId="9" borderId="8" xfId="67" applyFont="1" applyFill="1" applyBorder="1" applyAlignment="1" applyProtection="1">
      <alignment horizontal="center" textRotation="90" wrapText="1"/>
      <protection hidden="1"/>
    </xf>
    <xf numFmtId="0" fontId="76" fillId="6" borderId="0" xfId="67" applyFont="1" applyFill="1" applyAlignment="1" applyProtection="1">
      <alignment horizontal="center" vertical="center" wrapText="1"/>
      <protection hidden="1"/>
    </xf>
    <xf numFmtId="0" fontId="2" fillId="6" borderId="0" xfId="67" applyFill="1" applyAlignment="1" applyProtection="1">
      <alignment horizontal="center" vertical="center" wrapText="1"/>
      <protection hidden="1"/>
    </xf>
    <xf numFmtId="0" fontId="59" fillId="6" borderId="4" xfId="67" quotePrefix="1" applyFont="1" applyFill="1" applyBorder="1" applyAlignment="1" applyProtection="1">
      <alignment horizontal="center" vertical="center"/>
      <protection locked="0"/>
    </xf>
    <xf numFmtId="0" fontId="59" fillId="6" borderId="4" xfId="67" applyFont="1" applyFill="1" applyBorder="1" applyAlignment="1" applyProtection="1">
      <alignment horizontal="center" vertical="center"/>
      <protection locked="0"/>
    </xf>
    <xf numFmtId="10" fontId="59" fillId="9" borderId="17" xfId="67" applyNumberFormat="1" applyFont="1" applyFill="1" applyBorder="1" applyAlignment="1" applyProtection="1">
      <alignment horizontal="center" vertical="center"/>
      <protection hidden="1"/>
    </xf>
    <xf numFmtId="10" fontId="59" fillId="9" borderId="17" xfId="67" applyNumberFormat="1" applyFont="1" applyFill="1" applyBorder="1" applyAlignment="1" applyProtection="1">
      <alignment horizontal="center" vertical="center"/>
      <protection locked="0" hidden="1"/>
    </xf>
    <xf numFmtId="10" fontId="59" fillId="9" borderId="18" xfId="67" applyNumberFormat="1" applyFont="1" applyFill="1" applyBorder="1" applyAlignment="1" applyProtection="1">
      <alignment horizontal="center" vertical="center"/>
      <protection hidden="1"/>
    </xf>
    <xf numFmtId="2" fontId="59" fillId="9" borderId="17" xfId="67" applyNumberFormat="1" applyFont="1" applyFill="1" applyBorder="1" applyAlignment="1" applyProtection="1">
      <alignment horizontal="center" vertical="center"/>
      <protection hidden="1"/>
    </xf>
    <xf numFmtId="2" fontId="59" fillId="9" borderId="17" xfId="67" applyNumberFormat="1" applyFont="1" applyFill="1" applyBorder="1" applyAlignment="1" applyProtection="1">
      <alignment horizontal="center" vertical="center"/>
      <protection locked="0" hidden="1"/>
    </xf>
    <xf numFmtId="2" fontId="59" fillId="9" borderId="18" xfId="67" applyNumberFormat="1" applyFont="1" applyFill="1" applyBorder="1" applyAlignment="1" applyProtection="1">
      <alignment horizontal="center" vertical="center"/>
      <protection hidden="1"/>
    </xf>
    <xf numFmtId="0" fontId="58" fillId="9" borderId="11" xfId="67" applyFont="1" applyFill="1" applyBorder="1" applyAlignment="1" applyProtection="1">
      <alignment horizontal="center" vertical="center" wrapText="1"/>
      <protection hidden="1"/>
    </xf>
    <xf numFmtId="0" fontId="58" fillId="9" borderId="2" xfId="67" applyFont="1" applyFill="1" applyBorder="1" applyAlignment="1" applyProtection="1">
      <alignment horizontal="center" vertical="center" wrapText="1"/>
      <protection hidden="1"/>
    </xf>
    <xf numFmtId="0" fontId="59" fillId="9" borderId="2" xfId="67" applyFont="1" applyFill="1" applyBorder="1" applyAlignment="1" applyProtection="1">
      <alignment horizontal="center" vertical="center"/>
      <protection hidden="1"/>
    </xf>
    <xf numFmtId="10" fontId="59" fillId="9" borderId="2" xfId="67" applyNumberFormat="1" applyFont="1" applyFill="1" applyBorder="1" applyAlignment="1" applyProtection="1">
      <alignment horizontal="center" vertical="center"/>
      <protection hidden="1"/>
    </xf>
    <xf numFmtId="10" fontId="60" fillId="9" borderId="2" xfId="67" applyNumberFormat="1" applyFont="1" applyFill="1" applyBorder="1" applyAlignment="1" applyProtection="1">
      <alignment horizontal="center" vertical="center"/>
      <protection hidden="1"/>
    </xf>
    <xf numFmtId="2" fontId="59" fillId="9" borderId="2" xfId="67" applyNumberFormat="1" applyFont="1" applyFill="1" applyBorder="1" applyAlignment="1" applyProtection="1">
      <alignment horizontal="center" vertical="center"/>
      <protection hidden="1"/>
    </xf>
    <xf numFmtId="2" fontId="60" fillId="9" borderId="2" xfId="67" applyNumberFormat="1" applyFont="1" applyFill="1" applyBorder="1" applyAlignment="1" applyProtection="1">
      <alignment horizontal="center" vertical="center"/>
      <protection hidden="1"/>
    </xf>
    <xf numFmtId="2" fontId="59" fillId="9" borderId="12" xfId="67" applyNumberFormat="1" applyFont="1" applyFill="1" applyBorder="1" applyAlignment="1" applyProtection="1">
      <alignment horizontal="center" vertical="center"/>
      <protection hidden="1"/>
    </xf>
    <xf numFmtId="0" fontId="58" fillId="9" borderId="7" xfId="67" applyFont="1" applyFill="1" applyBorder="1" applyAlignment="1" applyProtection="1">
      <alignment horizontal="center" wrapText="1"/>
      <protection hidden="1"/>
    </xf>
    <xf numFmtId="0" fontId="58" fillId="9" borderId="13" xfId="67" applyFont="1" applyFill="1" applyBorder="1" applyAlignment="1" applyProtection="1">
      <alignment horizontal="center" wrapText="1"/>
      <protection hidden="1"/>
    </xf>
    <xf numFmtId="0" fontId="2" fillId="9" borderId="13" xfId="67" applyFill="1" applyBorder="1" applyAlignment="1" applyProtection="1">
      <alignment horizontal="center" wrapText="1"/>
      <protection hidden="1"/>
    </xf>
    <xf numFmtId="0" fontId="76" fillId="6" borderId="0" xfId="67" applyFont="1" applyFill="1" applyBorder="1" applyAlignment="1" applyProtection="1">
      <alignment vertical="center"/>
      <protection hidden="1"/>
    </xf>
    <xf numFmtId="0" fontId="2" fillId="6" borderId="0" xfId="67" applyFill="1" applyBorder="1" applyAlignment="1" applyProtection="1">
      <alignment vertical="center"/>
      <protection hidden="1"/>
    </xf>
    <xf numFmtId="0" fontId="61" fillId="9" borderId="14" xfId="67" applyFont="1" applyFill="1" applyBorder="1" applyAlignment="1" applyProtection="1">
      <alignment horizontal="center" vertical="center"/>
      <protection hidden="1"/>
    </xf>
    <xf numFmtId="0" fontId="61" fillId="9" borderId="9" xfId="67" applyFont="1" applyFill="1" applyBorder="1" applyAlignment="1" applyProtection="1">
      <alignment horizontal="center" vertical="center"/>
      <protection hidden="1"/>
    </xf>
    <xf numFmtId="0" fontId="75" fillId="27" borderId="19" xfId="67" applyFont="1" applyFill="1" applyBorder="1" applyAlignment="1" applyProtection="1">
      <alignment horizontal="center" vertical="center"/>
      <protection hidden="1"/>
    </xf>
    <xf numFmtId="0" fontId="75" fillId="27" borderId="20" xfId="67" applyFont="1" applyFill="1" applyBorder="1" applyAlignment="1" applyProtection="1">
      <alignment horizontal="left" vertical="center"/>
      <protection hidden="1"/>
    </xf>
    <xf numFmtId="0" fontId="62" fillId="9" borderId="2" xfId="67" applyFont="1" applyFill="1" applyBorder="1" applyAlignment="1" applyProtection="1">
      <alignment horizontal="left" vertical="center"/>
      <protection hidden="1"/>
    </xf>
    <xf numFmtId="0" fontId="63" fillId="9" borderId="6" xfId="67" applyFont="1" applyFill="1" applyBorder="1" applyAlignment="1" applyProtection="1">
      <alignment horizontal="left" vertical="center" wrapText="1"/>
      <protection hidden="1"/>
    </xf>
    <xf numFmtId="0" fontId="2" fillId="9" borderId="2" xfId="67" applyFill="1" applyBorder="1" applyAlignment="1" applyProtection="1">
      <alignment horizontal="center" vertical="center" wrapText="1"/>
      <protection hidden="1"/>
    </xf>
    <xf numFmtId="0" fontId="2" fillId="9" borderId="12" xfId="67" applyFill="1" applyBorder="1" applyAlignment="1" applyProtection="1">
      <alignment horizontal="center" vertical="center" wrapText="1"/>
      <protection hidden="1"/>
    </xf>
    <xf numFmtId="0" fontId="58" fillId="9" borderId="7" xfId="67" applyFont="1" applyFill="1" applyBorder="1" applyAlignment="1" applyProtection="1">
      <alignment horizontal="center" textRotation="90" wrapText="1"/>
      <protection hidden="1"/>
    </xf>
    <xf numFmtId="0" fontId="58" fillId="9" borderId="0" xfId="67" applyFont="1" applyFill="1" applyBorder="1" applyAlignment="1" applyProtection="1">
      <alignment horizontal="center" textRotation="90" wrapText="1"/>
      <protection hidden="1"/>
    </xf>
    <xf numFmtId="0" fontId="58" fillId="9" borderId="15" xfId="67" applyFont="1" applyFill="1" applyBorder="1" applyAlignment="1" applyProtection="1">
      <alignment horizontal="center" textRotation="90" wrapText="1"/>
      <protection hidden="1"/>
    </xf>
    <xf numFmtId="10" fontId="59" fillId="9" borderId="9" xfId="67" applyNumberFormat="1" applyFont="1" applyFill="1" applyBorder="1" applyAlignment="1" applyProtection="1">
      <alignment horizontal="center" vertical="center"/>
      <protection hidden="1"/>
    </xf>
    <xf numFmtId="10" fontId="59" fillId="9" borderId="9" xfId="67" applyNumberFormat="1" applyFont="1" applyFill="1" applyBorder="1" applyAlignment="1" applyProtection="1">
      <alignment horizontal="center" vertical="center"/>
      <protection locked="0" hidden="1"/>
    </xf>
    <xf numFmtId="10" fontId="59" fillId="9" borderId="10" xfId="67" applyNumberFormat="1" applyFont="1" applyFill="1" applyBorder="1" applyAlignment="1" applyProtection="1">
      <alignment horizontal="center" vertical="center"/>
      <protection hidden="1"/>
    </xf>
    <xf numFmtId="2" fontId="59" fillId="9" borderId="10" xfId="67" applyNumberFormat="1" applyFont="1" applyFill="1" applyBorder="1" applyAlignment="1" applyProtection="1">
      <alignment horizontal="center" vertical="center"/>
      <protection locked="0" hidden="1"/>
    </xf>
    <xf numFmtId="2" fontId="59" fillId="9" borderId="10" xfId="67" applyNumberFormat="1" applyFont="1" applyFill="1" applyBorder="1" applyAlignment="1" applyProtection="1">
      <alignment horizontal="center" vertical="center"/>
      <protection hidden="1"/>
    </xf>
    <xf numFmtId="2" fontId="59" fillId="9" borderId="16" xfId="67" applyNumberFormat="1" applyFont="1" applyFill="1" applyBorder="1" applyAlignment="1" applyProtection="1">
      <alignment horizontal="center" vertical="center"/>
      <protection hidden="1"/>
    </xf>
    <xf numFmtId="2" fontId="59" fillId="9" borderId="13" xfId="67" applyNumberFormat="1" applyFont="1" applyFill="1" applyBorder="1" applyAlignment="1" applyProtection="1">
      <alignment horizontal="center" vertical="center"/>
      <protection hidden="1"/>
    </xf>
    <xf numFmtId="2" fontId="59" fillId="9" borderId="8" xfId="67" applyNumberFormat="1" applyFont="1" applyFill="1" applyBorder="1" applyAlignment="1" applyProtection="1">
      <alignment horizontal="center" vertical="center"/>
      <protection hidden="1"/>
    </xf>
    <xf numFmtId="0" fontId="56" fillId="9" borderId="6" xfId="67" applyFont="1" applyFill="1" applyBorder="1" applyAlignment="1" applyProtection="1">
      <alignment horizontal="left" vertical="center" wrapText="1"/>
      <protection hidden="1"/>
    </xf>
    <xf numFmtId="0" fontId="72" fillId="17" borderId="0" xfId="67" quotePrefix="1" applyFont="1" applyFill="1" applyAlignment="1" applyProtection="1">
      <alignment horizontal="center" vertical="center" wrapText="1"/>
      <protection hidden="1"/>
    </xf>
    <xf numFmtId="0" fontId="71" fillId="17" borderId="0" xfId="67" applyFont="1" applyFill="1" applyAlignment="1" applyProtection="1">
      <alignment wrapText="1"/>
      <protection hidden="1"/>
    </xf>
    <xf numFmtId="0" fontId="58" fillId="10" borderId="4" xfId="67" applyFont="1" applyFill="1" applyBorder="1" applyAlignment="1" applyProtection="1">
      <alignment horizontal="center" vertical="center" wrapText="1"/>
      <protection hidden="1"/>
    </xf>
    <xf numFmtId="0" fontId="2" fillId="6" borderId="0" xfId="67" applyFill="1" applyAlignment="1" applyProtection="1">
      <alignment horizontal="center" vertical="center"/>
      <protection hidden="1"/>
    </xf>
    <xf numFmtId="10" fontId="59" fillId="10" borderId="9" xfId="67" applyNumberFormat="1" applyFont="1" applyFill="1" applyBorder="1" applyAlignment="1" applyProtection="1">
      <alignment horizontal="center" vertical="center" wrapText="1"/>
      <protection hidden="1"/>
    </xf>
    <xf numFmtId="10" fontId="59" fillId="10" borderId="4" xfId="67" applyNumberFormat="1" applyFont="1" applyFill="1" applyBorder="1" applyAlignment="1" applyProtection="1">
      <alignment horizontal="center" vertical="center" wrapText="1"/>
      <protection hidden="1"/>
    </xf>
    <xf numFmtId="0" fontId="2" fillId="10" borderId="13" xfId="67" applyFill="1" applyBorder="1" applyAlignment="1" applyProtection="1">
      <alignment horizontal="center" wrapText="1"/>
      <protection hidden="1"/>
    </xf>
    <xf numFmtId="0" fontId="61" fillId="10" borderId="14" xfId="67" applyFont="1" applyFill="1" applyBorder="1" applyAlignment="1" applyProtection="1">
      <alignment horizontal="center" vertical="center"/>
      <protection hidden="1"/>
    </xf>
    <xf numFmtId="0" fontId="61" fillId="10" borderId="9" xfId="67" applyFont="1" applyFill="1" applyBorder="1" applyAlignment="1" applyProtection="1">
      <alignment horizontal="center" vertical="center"/>
      <protection hidden="1"/>
    </xf>
    <xf numFmtId="0" fontId="72" fillId="18" borderId="0" xfId="67" applyFont="1" applyFill="1" applyAlignment="1" applyProtection="1">
      <alignment horizontal="center" vertical="center" wrapText="1"/>
      <protection hidden="1"/>
    </xf>
    <xf numFmtId="0" fontId="71" fillId="18" borderId="0" xfId="67" applyFont="1" applyFill="1" applyAlignment="1" applyProtection="1">
      <alignment wrapText="1"/>
      <protection hidden="1"/>
    </xf>
    <xf numFmtId="0" fontId="58" fillId="11" borderId="11" xfId="67" applyFont="1" applyFill="1" applyBorder="1" applyAlignment="1" applyProtection="1">
      <alignment horizontal="center" vertical="center" wrapText="1"/>
      <protection hidden="1"/>
    </xf>
    <xf numFmtId="0" fontId="58" fillId="11" borderId="12" xfId="67" applyFont="1" applyFill="1" applyBorder="1" applyAlignment="1" applyProtection="1">
      <alignment horizontal="center" vertical="center" wrapText="1"/>
      <protection hidden="1"/>
    </xf>
    <xf numFmtId="0" fontId="58" fillId="11" borderId="3" xfId="67" applyFont="1" applyFill="1" applyBorder="1" applyAlignment="1" applyProtection="1">
      <alignment horizontal="center" textRotation="90" wrapText="1"/>
      <protection hidden="1"/>
    </xf>
    <xf numFmtId="0" fontId="58" fillId="11" borderId="16" xfId="67" applyFont="1" applyFill="1" applyBorder="1" applyAlignment="1" applyProtection="1">
      <alignment horizontal="center" textRotation="90" wrapText="1"/>
      <protection hidden="1"/>
    </xf>
    <xf numFmtId="0" fontId="59" fillId="11" borderId="4" xfId="67" applyNumberFormat="1" applyFont="1" applyFill="1" applyBorder="1" applyAlignment="1" applyProtection="1">
      <alignment horizontal="center" vertical="center"/>
      <protection hidden="1"/>
    </xf>
    <xf numFmtId="10" fontId="59" fillId="11" borderId="4" xfId="67" applyNumberFormat="1" applyFont="1" applyFill="1" applyBorder="1" applyAlignment="1" applyProtection="1">
      <alignment horizontal="center" vertical="center"/>
      <protection hidden="1"/>
    </xf>
    <xf numFmtId="0" fontId="62" fillId="11" borderId="11" xfId="67" applyFont="1" applyFill="1" applyBorder="1" applyAlignment="1" applyProtection="1">
      <alignment horizontal="center" vertical="center" wrapText="1"/>
      <protection hidden="1"/>
    </xf>
    <xf numFmtId="0" fontId="64" fillId="6" borderId="0" xfId="67" applyFont="1" applyFill="1" applyAlignment="1" applyProtection="1">
      <alignment vertical="center"/>
      <protection hidden="1"/>
    </xf>
    <xf numFmtId="0" fontId="62" fillId="6" borderId="0" xfId="67" applyFont="1" applyFill="1" applyAlignment="1" applyProtection="1">
      <alignment vertical="center"/>
      <protection hidden="1"/>
    </xf>
    <xf numFmtId="0" fontId="58" fillId="11" borderId="7" xfId="67" applyFont="1" applyFill="1" applyBorder="1" applyAlignment="1" applyProtection="1">
      <alignment horizontal="center" wrapText="1"/>
      <protection hidden="1"/>
    </xf>
    <xf numFmtId="0" fontId="58" fillId="11" borderId="13" xfId="67" applyFont="1" applyFill="1" applyBorder="1" applyAlignment="1" applyProtection="1">
      <alignment horizontal="center" wrapText="1"/>
      <protection hidden="1"/>
    </xf>
    <xf numFmtId="0" fontId="2" fillId="11" borderId="13" xfId="67" applyFill="1" applyBorder="1" applyAlignment="1" applyProtection="1">
      <alignment horizontal="center" wrapText="1"/>
      <protection hidden="1"/>
    </xf>
    <xf numFmtId="0" fontId="65" fillId="12" borderId="4" xfId="67" applyFont="1" applyFill="1" applyBorder="1" applyAlignment="1" applyProtection="1">
      <alignment horizontal="center" vertical="center" textRotation="90" wrapText="1"/>
      <protection hidden="1"/>
    </xf>
    <xf numFmtId="0" fontId="58" fillId="11" borderId="16" xfId="67" applyFont="1" applyFill="1" applyBorder="1" applyAlignment="1" applyProtection="1">
      <alignment horizontal="center" wrapText="1"/>
      <protection hidden="1"/>
    </xf>
    <xf numFmtId="0" fontId="66" fillId="11" borderId="19" xfId="67" applyFont="1" applyFill="1" applyBorder="1" applyAlignment="1" applyProtection="1">
      <alignment horizontal="left" vertical="center" wrapText="1"/>
      <protection hidden="1"/>
    </xf>
    <xf numFmtId="0" fontId="67" fillId="11" borderId="19" xfId="67" applyFont="1" applyFill="1" applyBorder="1" applyAlignment="1" applyProtection="1">
      <alignment horizontal="left" wrapText="1"/>
      <protection hidden="1"/>
    </xf>
    <xf numFmtId="0" fontId="72" fillId="19" borderId="0" xfId="67" applyFont="1" applyFill="1" applyAlignment="1" applyProtection="1">
      <alignment horizontal="center" vertical="center" wrapText="1"/>
      <protection hidden="1"/>
    </xf>
    <xf numFmtId="0" fontId="71" fillId="19" borderId="0" xfId="67" applyFont="1" applyFill="1" applyAlignment="1" applyProtection="1">
      <alignment wrapText="1"/>
      <protection hidden="1"/>
    </xf>
    <xf numFmtId="0" fontId="58" fillId="13" borderId="4" xfId="67" applyFont="1" applyFill="1" applyBorder="1" applyAlignment="1" applyProtection="1">
      <alignment horizontal="center" wrapText="1"/>
      <protection hidden="1"/>
    </xf>
    <xf numFmtId="0" fontId="59" fillId="13" borderId="4" xfId="67" applyNumberFormat="1" applyFont="1" applyFill="1" applyBorder="1" applyAlignment="1" applyProtection="1">
      <alignment horizontal="center" vertical="center"/>
      <protection hidden="1"/>
    </xf>
    <xf numFmtId="2" fontId="59" fillId="13" borderId="4" xfId="67" applyNumberFormat="1" applyFont="1" applyFill="1" applyBorder="1" applyAlignment="1" applyProtection="1">
      <alignment horizontal="center" vertical="center"/>
      <protection hidden="1"/>
    </xf>
    <xf numFmtId="0" fontId="62" fillId="13" borderId="11" xfId="67" applyFont="1" applyFill="1" applyBorder="1" applyAlignment="1" applyProtection="1">
      <alignment horizontal="left" vertical="center" wrapText="1"/>
      <protection hidden="1"/>
    </xf>
    <xf numFmtId="0" fontId="58" fillId="13" borderId="16" xfId="67" applyFont="1" applyFill="1" applyBorder="1" applyAlignment="1" applyProtection="1">
      <alignment horizontal="center" wrapText="1"/>
      <protection hidden="1"/>
    </xf>
    <xf numFmtId="0" fontId="65" fillId="14" borderId="4" xfId="67" applyFont="1" applyFill="1" applyBorder="1" applyAlignment="1" applyProtection="1">
      <alignment horizontal="center" vertical="center" textRotation="90" wrapText="1"/>
      <protection hidden="1"/>
    </xf>
    <xf numFmtId="0" fontId="58" fillId="16" borderId="16" xfId="67" applyFont="1" applyFill="1" applyBorder="1" applyAlignment="1" applyProtection="1">
      <alignment horizontal="center" wrapText="1"/>
      <protection hidden="1"/>
    </xf>
    <xf numFmtId="0" fontId="66" fillId="16" borderId="19" xfId="67" applyFont="1" applyFill="1" applyBorder="1" applyAlignment="1" applyProtection="1">
      <alignment horizontal="left" vertical="center" wrapText="1"/>
      <protection hidden="1"/>
    </xf>
    <xf numFmtId="0" fontId="67" fillId="16" borderId="19" xfId="67" applyFont="1" applyFill="1" applyBorder="1" applyAlignment="1" applyProtection="1">
      <alignment horizontal="left" wrapText="1"/>
      <protection hidden="1"/>
    </xf>
    <xf numFmtId="0" fontId="72" fillId="20" borderId="0" xfId="67" applyFont="1" applyFill="1" applyAlignment="1" applyProtection="1">
      <alignment horizontal="center" vertical="center" wrapText="1"/>
      <protection hidden="1"/>
    </xf>
    <xf numFmtId="0" fontId="71" fillId="20" borderId="0" xfId="67" applyFont="1" applyFill="1" applyAlignment="1" applyProtection="1">
      <alignment wrapText="1"/>
      <protection hidden="1"/>
    </xf>
    <xf numFmtId="0" fontId="68" fillId="7" borderId="0" xfId="67" applyFont="1" applyFill="1" applyAlignment="1" applyProtection="1">
      <alignment vertical="center" wrapText="1"/>
      <protection hidden="1"/>
    </xf>
    <xf numFmtId="0" fontId="68" fillId="7" borderId="0" xfId="67" applyFont="1" applyFill="1" applyAlignment="1" applyProtection="1">
      <alignment horizontal="right" vertical="center"/>
      <protection hidden="1"/>
    </xf>
    <xf numFmtId="2" fontId="78" fillId="7" borderId="0" xfId="67" applyNumberFormat="1" applyFont="1" applyFill="1" applyAlignment="1" applyProtection="1">
      <alignment horizontal="center" vertical="center" wrapText="1"/>
      <protection hidden="1"/>
    </xf>
    <xf numFmtId="0" fontId="129" fillId="6" borderId="0" xfId="67" applyFont="1" applyFill="1" applyAlignment="1" applyProtection="1">
      <alignment vertical="center"/>
      <protection hidden="1"/>
    </xf>
    <xf numFmtId="0" fontId="2" fillId="6" borderId="0" xfId="67" applyFont="1" applyFill="1" applyAlignment="1" applyProtection="1">
      <alignment vertical="center"/>
      <protection hidden="1"/>
    </xf>
    <xf numFmtId="0" fontId="2" fillId="6" borderId="0" xfId="67" applyFont="1" applyFill="1" applyProtection="1">
      <protection hidden="1"/>
    </xf>
    <xf numFmtId="0" fontId="2" fillId="6" borderId="0" xfId="67" applyFont="1" applyFill="1" applyAlignment="1" applyProtection="1">
      <alignment horizontal="center" vertical="center" wrapText="1"/>
      <protection hidden="1"/>
    </xf>
    <xf numFmtId="0" fontId="53" fillId="6" borderId="0" xfId="67" applyFont="1" applyFill="1" applyBorder="1" applyAlignment="1" applyProtection="1">
      <alignment vertical="center"/>
      <protection hidden="1"/>
    </xf>
    <xf numFmtId="0" fontId="2" fillId="6" borderId="0" xfId="67" applyFont="1" applyFill="1" applyBorder="1" applyAlignment="1" applyProtection="1">
      <alignment vertical="center"/>
      <protection hidden="1"/>
    </xf>
    <xf numFmtId="0" fontId="58" fillId="6" borderId="0" xfId="67" applyFont="1" applyFill="1" applyBorder="1" applyAlignment="1" applyProtection="1">
      <alignment horizontal="center" wrapText="1"/>
      <protection hidden="1"/>
    </xf>
    <xf numFmtId="0" fontId="53" fillId="6" borderId="0" xfId="67" applyFont="1" applyFill="1" applyAlignment="1" applyProtection="1">
      <alignment vertical="center"/>
      <protection hidden="1"/>
    </xf>
    <xf numFmtId="0" fontId="53" fillId="0" borderId="0" xfId="67" applyFont="1" applyFill="1" applyAlignment="1" applyProtection="1">
      <alignment vertical="center"/>
      <protection hidden="1"/>
    </xf>
    <xf numFmtId="0" fontId="2" fillId="0" borderId="0" xfId="67" applyFont="1" applyFill="1" applyAlignment="1" applyProtection="1">
      <alignment vertical="center"/>
      <protection hidden="1"/>
    </xf>
    <xf numFmtId="0" fontId="68" fillId="7" borderId="0" xfId="67" applyFont="1" applyFill="1" applyAlignment="1" applyProtection="1">
      <alignment horizontal="left" vertical="center"/>
      <protection hidden="1"/>
    </xf>
    <xf numFmtId="2" fontId="59" fillId="6" borderId="4" xfId="67" quotePrefix="1" applyNumberFormat="1" applyFont="1" applyFill="1" applyBorder="1" applyAlignment="1" applyProtection="1">
      <alignment horizontal="center" vertical="center"/>
      <protection locked="0"/>
    </xf>
    <xf numFmtId="0" fontId="22" fillId="26" borderId="4" xfId="0" applyNumberFormat="1" applyFont="1" applyFill="1" applyBorder="1" applyAlignment="1" applyProtection="1">
      <alignment horizontal="center" vertical="center" wrapText="1"/>
      <protection hidden="1"/>
    </xf>
    <xf numFmtId="0" fontId="24" fillId="0" borderId="0" xfId="3" applyFont="1" applyBorder="1" applyAlignment="1">
      <alignment vertical="center"/>
    </xf>
    <xf numFmtId="0" fontId="27" fillId="0" borderId="0" xfId="3" applyFont="1" applyAlignment="1" applyProtection="1">
      <alignment vertical="center"/>
      <protection hidden="1"/>
    </xf>
    <xf numFmtId="0" fontId="47" fillId="0" borderId="0" xfId="3" quotePrefix="1" applyFont="1" applyAlignment="1">
      <alignment horizontal="left" vertical="center"/>
    </xf>
    <xf numFmtId="0" fontId="25" fillId="0" borderId="0" xfId="0" applyFont="1" applyAlignment="1"/>
    <xf numFmtId="0" fontId="59" fillId="10" borderId="9" xfId="67" applyNumberFormat="1" applyFont="1" applyFill="1" applyBorder="1" applyAlignment="1" applyProtection="1">
      <alignment horizontal="center" vertical="center" wrapText="1"/>
      <protection hidden="1"/>
    </xf>
    <xf numFmtId="0" fontId="74" fillId="0" borderId="0" xfId="0" applyFont="1" applyAlignment="1">
      <alignment vertical="top" wrapText="1"/>
    </xf>
    <xf numFmtId="0" fontId="79" fillId="0" borderId="0" xfId="0" applyFont="1" applyAlignment="1">
      <alignment vertical="top" wrapText="1"/>
    </xf>
    <xf numFmtId="0" fontId="58" fillId="0" borderId="0" xfId="0" applyFont="1"/>
    <xf numFmtId="0" fontId="14" fillId="7" borderId="3" xfId="0" applyFont="1" applyFill="1" applyBorder="1" applyAlignment="1">
      <alignment horizontal="center" vertical="center" wrapText="1"/>
    </xf>
    <xf numFmtId="0" fontId="22" fillId="7" borderId="4" xfId="0" applyFont="1" applyFill="1" applyBorder="1" applyAlignment="1">
      <alignment horizontal="center" vertical="center"/>
    </xf>
    <xf numFmtId="0" fontId="21" fillId="7" borderId="4" xfId="0" applyFont="1" applyFill="1" applyBorder="1" applyAlignment="1" applyProtection="1">
      <alignment horizontal="center" vertical="center"/>
      <protection hidden="1"/>
    </xf>
    <xf numFmtId="1" fontId="22" fillId="7" borderId="4" xfId="0" applyNumberFormat="1" applyFont="1" applyFill="1" applyBorder="1" applyAlignment="1" applyProtection="1">
      <alignment horizontal="center" vertical="center" wrapText="1"/>
      <protection hidden="1"/>
    </xf>
    <xf numFmtId="164" fontId="22" fillId="7" borderId="4" xfId="0" applyNumberFormat="1" applyFont="1" applyFill="1" applyBorder="1" applyAlignment="1" applyProtection="1">
      <alignment horizontal="center" vertical="center" wrapText="1"/>
      <protection hidden="1"/>
    </xf>
    <xf numFmtId="2" fontId="22" fillId="7" borderId="4" xfId="0" applyNumberFormat="1" applyFont="1" applyFill="1" applyBorder="1" applyAlignment="1" applyProtection="1">
      <alignment horizontal="center" vertical="center" wrapText="1"/>
      <protection hidden="1"/>
    </xf>
    <xf numFmtId="0" fontId="14" fillId="26" borderId="5" xfId="0" applyFont="1" applyFill="1" applyBorder="1" applyAlignment="1" applyProtection="1">
      <alignment horizontal="center" vertical="center"/>
      <protection hidden="1"/>
    </xf>
    <xf numFmtId="0" fontId="14" fillId="26" borderId="19" xfId="0" applyFont="1" applyFill="1" applyBorder="1" applyAlignment="1" applyProtection="1">
      <alignment horizontal="center" vertical="center" wrapText="1"/>
      <protection hidden="1"/>
    </xf>
    <xf numFmtId="0" fontId="14" fillId="26" borderId="20" xfId="0" applyFont="1" applyFill="1" applyBorder="1" applyAlignment="1" applyProtection="1">
      <alignment horizontal="center" vertical="center" wrapText="1"/>
      <protection hidden="1"/>
    </xf>
    <xf numFmtId="0" fontId="14" fillId="28" borderId="4" xfId="0" applyFont="1" applyFill="1" applyBorder="1" applyAlignment="1" applyProtection="1">
      <alignment horizontal="center" vertical="center"/>
      <protection locked="0"/>
    </xf>
    <xf numFmtId="0" fontId="22" fillId="28" borderId="4" xfId="0" applyFont="1" applyFill="1" applyBorder="1" applyAlignment="1" applyProtection="1">
      <alignment horizontal="center" vertical="center"/>
      <protection locked="0"/>
    </xf>
    <xf numFmtId="1" fontId="22" fillId="28" borderId="4" xfId="0" applyNumberFormat="1"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1" fontId="59" fillId="9" borderId="17" xfId="67" applyNumberFormat="1" applyFont="1" applyFill="1" applyBorder="1" applyAlignment="1" applyProtection="1">
      <alignment horizontal="center" vertical="center"/>
      <protection hidden="1"/>
    </xf>
    <xf numFmtId="1" fontId="59" fillId="9" borderId="9" xfId="67" applyNumberFormat="1" applyFont="1" applyFill="1" applyBorder="1" applyAlignment="1" applyProtection="1">
      <alignment horizontal="center" vertical="center"/>
      <protection hidden="1"/>
    </xf>
    <xf numFmtId="1" fontId="2" fillId="6" borderId="0" xfId="67" applyNumberFormat="1" applyFont="1" applyFill="1" applyAlignment="1" applyProtection="1">
      <alignment vertical="center"/>
      <protection hidden="1"/>
    </xf>
    <xf numFmtId="0" fontId="132" fillId="0" borderId="0" xfId="0" applyFont="1" applyAlignment="1">
      <alignment horizontal="center" wrapText="1"/>
    </xf>
    <xf numFmtId="0" fontId="132" fillId="0" borderId="0" xfId="0" applyFont="1" applyBorder="1" applyAlignment="1">
      <alignment horizontal="center" wrapText="1"/>
    </xf>
    <xf numFmtId="0" fontId="133" fillId="0" borderId="0" xfId="0" applyFont="1" applyAlignment="1">
      <alignment vertical="center"/>
    </xf>
    <xf numFmtId="0" fontId="14" fillId="0" borderId="0" xfId="3" applyFont="1"/>
    <xf numFmtId="164" fontId="14" fillId="2" borderId="4" xfId="0" applyNumberFormat="1" applyFont="1" applyFill="1" applyBorder="1" applyAlignment="1" applyProtection="1">
      <alignment horizontal="center" vertical="center" wrapText="1"/>
      <protection hidden="1"/>
    </xf>
    <xf numFmtId="0" fontId="17" fillId="0" borderId="0" xfId="1" applyAlignment="1" applyProtection="1">
      <alignment vertical="center"/>
    </xf>
    <xf numFmtId="0" fontId="40" fillId="0" borderId="0" xfId="0" applyFont="1" applyFill="1" applyAlignment="1">
      <alignment horizontal="left" vertical="center" wrapText="1"/>
    </xf>
    <xf numFmtId="0" fontId="17" fillId="0" borderId="0" xfId="1" applyAlignment="1" applyProtection="1">
      <alignment horizontal="justify" vertical="center" wrapText="1"/>
    </xf>
    <xf numFmtId="0" fontId="17" fillId="0" borderId="0" xfId="1" applyAlignment="1" applyProtection="1">
      <alignment horizontal="justify" vertical="center"/>
    </xf>
    <xf numFmtId="0" fontId="47" fillId="0" borderId="13" xfId="0" applyFont="1" applyBorder="1" applyAlignment="1">
      <alignment horizontal="justify" vertical="center" wrapText="1"/>
    </xf>
    <xf numFmtId="0" fontId="48" fillId="0" borderId="2" xfId="0" applyFont="1" applyBorder="1" applyAlignment="1">
      <alignment horizontal="left" vertical="center" wrapText="1" indent="3"/>
    </xf>
    <xf numFmtId="0" fontId="17" fillId="0" borderId="0" xfId="1" applyFill="1" applyAlignment="1" applyProtection="1">
      <alignment horizontal="left" vertical="top" wrapText="1"/>
    </xf>
    <xf numFmtId="0" fontId="118" fillId="0" borderId="0" xfId="1" applyFont="1" applyAlignment="1" applyProtection="1">
      <alignment vertical="center"/>
    </xf>
    <xf numFmtId="0" fontId="18" fillId="4" borderId="0" xfId="0" applyFont="1" applyFill="1" applyAlignment="1">
      <alignment horizontal="center" vertical="center" wrapText="1"/>
    </xf>
    <xf numFmtId="0" fontId="19" fillId="4" borderId="0" xfId="0" applyFont="1" applyFill="1" applyAlignment="1">
      <alignment vertical="center" wrapText="1"/>
    </xf>
    <xf numFmtId="0" fontId="9" fillId="5" borderId="6"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14" fillId="0" borderId="2" xfId="0" applyFont="1" applyBorder="1" applyAlignment="1">
      <alignment horizontal="justify" vertical="center" wrapText="1"/>
    </xf>
    <xf numFmtId="0" fontId="47" fillId="0" borderId="0" xfId="0" applyFont="1" applyBorder="1" applyAlignment="1">
      <alignment horizontal="justify" vertical="center" wrapText="1"/>
    </xf>
    <xf numFmtId="0" fontId="48" fillId="0" borderId="0" xfId="0" applyFont="1" applyBorder="1" applyAlignment="1">
      <alignment horizontal="left" vertical="center" wrapText="1" indent="3"/>
    </xf>
    <xf numFmtId="0" fontId="95" fillId="0" borderId="0" xfId="0" applyFont="1" applyBorder="1" applyAlignment="1" applyProtection="1">
      <alignment horizontal="justify" vertical="center" wrapText="1"/>
    </xf>
    <xf numFmtId="0" fontId="96" fillId="0" borderId="0" xfId="0" applyFont="1" applyBorder="1" applyAlignment="1">
      <alignment horizontal="justify" wrapText="1"/>
    </xf>
    <xf numFmtId="0" fontId="96" fillId="0" borderId="0" xfId="0" applyFont="1" applyAlignment="1">
      <alignment horizontal="justify" wrapText="1"/>
    </xf>
    <xf numFmtId="0" fontId="21" fillId="7" borderId="0" xfId="0" applyFont="1" applyFill="1" applyBorder="1" applyAlignment="1">
      <alignment horizontal="center" vertical="center" wrapText="1"/>
    </xf>
    <xf numFmtId="0" fontId="132" fillId="0" borderId="13" xfId="0" applyFont="1" applyBorder="1" applyAlignment="1">
      <alignment horizontal="center" wrapText="1"/>
    </xf>
    <xf numFmtId="0" fontId="0" fillId="0" borderId="13" xfId="0" applyBorder="1" applyAlignment="1">
      <alignment wrapText="1"/>
    </xf>
    <xf numFmtId="0" fontId="132" fillId="0" borderId="19" xfId="0" applyFont="1" applyBorder="1" applyAlignment="1">
      <alignment horizontal="center" wrapText="1"/>
    </xf>
    <xf numFmtId="0" fontId="0" fillId="0" borderId="19" xfId="0" applyBorder="1" applyAlignment="1">
      <alignment wrapText="1"/>
    </xf>
    <xf numFmtId="0" fontId="21" fillId="0" borderId="0" xfId="0" applyFont="1" applyAlignment="1">
      <alignment horizontal="right" vertical="center" wrapText="1"/>
    </xf>
    <xf numFmtId="0" fontId="0" fillId="0" borderId="0" xfId="0" applyAlignment="1">
      <alignment vertical="center" wrapText="1"/>
    </xf>
    <xf numFmtId="0" fontId="14" fillId="0" borderId="6" xfId="0" applyFont="1" applyBorder="1" applyAlignment="1" applyProtection="1">
      <alignment vertical="center" wrapText="1"/>
      <protection locked="0"/>
    </xf>
    <xf numFmtId="0" fontId="14" fillId="0" borderId="19" xfId="0" applyFont="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21" fillId="0" borderId="15" xfId="0" applyFont="1" applyBorder="1" applyAlignment="1">
      <alignment horizontal="right" vertical="center" wrapText="1"/>
    </xf>
    <xf numFmtId="0" fontId="132" fillId="0" borderId="0" xfId="0" applyFont="1" applyBorder="1" applyAlignment="1">
      <alignment horizontal="left" wrapText="1"/>
    </xf>
    <xf numFmtId="0" fontId="0" fillId="0" borderId="0" xfId="0" applyAlignment="1">
      <alignment horizontal="left" wrapText="1"/>
    </xf>
    <xf numFmtId="0" fontId="10" fillId="5" borderId="0" xfId="0" applyFont="1" applyFill="1" applyAlignment="1">
      <alignment vertical="center" wrapText="1"/>
    </xf>
    <xf numFmtId="0" fontId="24" fillId="0" borderId="6" xfId="0" applyFont="1" applyBorder="1" applyAlignment="1" applyProtection="1">
      <alignment vertical="center" wrapText="1"/>
      <protection locked="0"/>
    </xf>
    <xf numFmtId="0" fontId="14" fillId="26" borderId="6" xfId="3" applyFont="1" applyFill="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4"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42" fillId="0" borderId="0" xfId="3" quotePrefix="1" applyFont="1" applyAlignment="1">
      <alignment horizontal="left" vertical="center" wrapText="1"/>
    </xf>
    <xf numFmtId="0" fontId="47" fillId="0" borderId="0" xfId="3" quotePrefix="1" applyFont="1" applyAlignment="1">
      <alignment horizontal="left" vertical="center" wrapText="1"/>
    </xf>
    <xf numFmtId="0" fontId="21" fillId="58" borderId="4" xfId="3"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21" fillId="24" borderId="4" xfId="3" applyFont="1" applyFill="1" applyBorder="1" applyAlignment="1" applyProtection="1">
      <alignment horizontal="center" vertical="center" wrapText="1"/>
      <protection hidden="1"/>
    </xf>
    <xf numFmtId="0" fontId="0" fillId="24" borderId="4" xfId="0" applyFill="1" applyBorder="1" applyAlignment="1" applyProtection="1">
      <alignment horizontal="center" vertical="center" wrapText="1"/>
      <protection hidden="1"/>
    </xf>
    <xf numFmtId="0" fontId="21" fillId="23" borderId="4" xfId="3" applyFont="1" applyFill="1" applyBorder="1" applyAlignment="1" applyProtection="1">
      <alignment horizontal="center" vertical="center" wrapText="1"/>
      <protection hidden="1"/>
    </xf>
    <xf numFmtId="0" fontId="0" fillId="23" borderId="4" xfId="0" applyFill="1" applyBorder="1" applyAlignment="1" applyProtection="1">
      <alignment horizontal="center" vertical="center" wrapText="1"/>
      <protection hidden="1"/>
    </xf>
    <xf numFmtId="0" fontId="21" fillId="2" borderId="6" xfId="3" applyFont="1" applyFill="1" applyBorder="1" applyAlignment="1" applyProtection="1">
      <alignment horizontal="center" vertical="center" wrapText="1"/>
      <protection hidden="1"/>
    </xf>
    <xf numFmtId="0" fontId="21" fillId="0" borderId="20" xfId="0" applyFont="1" applyBorder="1" applyAlignment="1" applyProtection="1">
      <alignment horizontal="center" vertical="center" wrapText="1"/>
      <protection hidden="1"/>
    </xf>
    <xf numFmtId="0" fontId="21" fillId="2" borderId="4" xfId="3" applyFont="1" applyFill="1" applyBorder="1" applyAlignment="1" applyProtection="1">
      <alignment horizontal="center" vertical="center" wrapText="1"/>
      <protection hidden="1"/>
    </xf>
    <xf numFmtId="0" fontId="21" fillId="2" borderId="4" xfId="3" applyFont="1" applyFill="1" applyBorder="1" applyAlignment="1">
      <alignment horizontal="center" vertical="center" wrapText="1"/>
    </xf>
    <xf numFmtId="0" fontId="0" fillId="0" borderId="4" xfId="0" applyBorder="1" applyAlignment="1">
      <alignment horizontal="center" vertical="center" wrapText="1"/>
    </xf>
    <xf numFmtId="0" fontId="21" fillId="21" borderId="4" xfId="3" applyFont="1" applyFill="1" applyBorder="1" applyAlignment="1" applyProtection="1">
      <alignment horizontal="center" vertical="center" wrapText="1"/>
      <protection hidden="1"/>
    </xf>
    <xf numFmtId="0" fontId="0" fillId="21" borderId="4" xfId="0" applyFill="1" applyBorder="1" applyAlignment="1" applyProtection="1">
      <alignment horizontal="center" vertical="center" wrapText="1"/>
      <protection hidden="1"/>
    </xf>
    <xf numFmtId="0" fontId="14" fillId="0" borderId="6" xfId="3"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1" fillId="57" borderId="4" xfId="3" applyFont="1" applyFill="1" applyBorder="1" applyAlignment="1" applyProtection="1">
      <alignment horizontal="center" vertical="center" wrapText="1"/>
      <protection hidden="1"/>
    </xf>
    <xf numFmtId="0" fontId="21" fillId="22" borderId="4" xfId="3" applyFont="1" applyFill="1" applyBorder="1" applyAlignment="1" applyProtection="1">
      <alignment horizontal="center" vertical="center" wrapText="1"/>
      <protection hidden="1"/>
    </xf>
    <xf numFmtId="0" fontId="0" fillId="22" borderId="4" xfId="0" applyFill="1" applyBorder="1" applyAlignment="1" applyProtection="1">
      <alignment horizontal="center" vertical="center" wrapText="1"/>
      <protection hidden="1"/>
    </xf>
    <xf numFmtId="0" fontId="14" fillId="26" borderId="4" xfId="0" applyFont="1" applyFill="1" applyBorder="1" applyAlignment="1" applyProtection="1">
      <alignment horizontal="center" vertical="center" wrapText="1"/>
      <protection hidden="1"/>
    </xf>
    <xf numFmtId="0" fontId="14" fillId="0" borderId="6"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81" fillId="0" borderId="0" xfId="0" applyFont="1" applyBorder="1" applyAlignment="1" applyProtection="1">
      <alignment horizontal="center" vertical="center" wrapText="1"/>
    </xf>
    <xf numFmtId="0" fontId="0" fillId="0" borderId="0" xfId="0" applyBorder="1" applyAlignment="1">
      <alignment horizontal="center" wrapText="1"/>
    </xf>
    <xf numFmtId="0" fontId="14" fillId="0" borderId="0" xfId="3" applyFont="1" applyAlignment="1">
      <alignment vertical="center" wrapText="1"/>
    </xf>
    <xf numFmtId="0" fontId="24" fillId="0" borderId="0" xfId="3" applyAlignment="1">
      <alignment vertical="center" wrapText="1"/>
    </xf>
    <xf numFmtId="0" fontId="28" fillId="5" borderId="0" xfId="3" applyFont="1" applyFill="1" applyAlignment="1">
      <alignment vertical="center" wrapText="1"/>
    </xf>
    <xf numFmtId="0" fontId="24" fillId="0" borderId="0" xfId="3" applyFont="1" applyAlignment="1">
      <alignment vertical="center" wrapText="1"/>
    </xf>
    <xf numFmtId="0" fontId="28" fillId="5" borderId="0" xfId="3" applyFont="1" applyFill="1" applyBorder="1" applyAlignment="1">
      <alignment vertical="center" wrapText="1"/>
    </xf>
    <xf numFmtId="0" fontId="24" fillId="0" borderId="0" xfId="3" applyFont="1" applyBorder="1" applyAlignment="1">
      <alignment vertical="center" wrapText="1"/>
    </xf>
    <xf numFmtId="0" fontId="21" fillId="2" borderId="5" xfId="3" applyFont="1" applyFill="1" applyBorder="1" applyAlignment="1" applyProtection="1">
      <alignment horizontal="center" vertical="center" wrapText="1"/>
      <protection hidden="1"/>
    </xf>
    <xf numFmtId="0" fontId="21" fillId="2" borderId="3" xfId="3" applyFont="1" applyFill="1" applyBorder="1" applyAlignment="1" applyProtection="1">
      <alignment horizontal="center" vertical="center" wrapText="1"/>
      <protection hidden="1"/>
    </xf>
    <xf numFmtId="0" fontId="21" fillId="2" borderId="11" xfId="3" applyFont="1" applyFill="1"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21" fillId="2" borderId="16" xfId="3"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1" fillId="2" borderId="2" xfId="3" applyFont="1" applyFill="1" applyBorder="1" applyAlignment="1" applyProtection="1">
      <alignment horizontal="center" vertical="center" wrapText="1"/>
      <protection hidden="1"/>
    </xf>
    <xf numFmtId="0" fontId="21" fillId="2" borderId="21" xfId="3"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164" fontId="14" fillId="2" borderId="6" xfId="0" applyNumberFormat="1" applyFont="1" applyFill="1" applyBorder="1" applyAlignment="1" applyProtection="1">
      <alignment horizontal="center" vertical="center" wrapText="1"/>
      <protection hidden="1"/>
    </xf>
    <xf numFmtId="0" fontId="0" fillId="0" borderId="20" xfId="0" applyBorder="1" applyAlignment="1">
      <alignment horizontal="center" vertical="center" wrapText="1"/>
    </xf>
    <xf numFmtId="0" fontId="14" fillId="0" borderId="4" xfId="3" applyFont="1" applyFill="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4" xfId="0" applyBorder="1" applyAlignment="1" applyProtection="1">
      <alignment vertical="center" wrapText="1"/>
      <protection hidden="1"/>
    </xf>
    <xf numFmtId="0" fontId="0" fillId="0" borderId="20" xfId="0" applyBorder="1" applyAlignment="1" applyProtection="1">
      <alignment horizontal="center" vertical="center" wrapText="1"/>
      <protection hidden="1"/>
    </xf>
    <xf numFmtId="0" fontId="21" fillId="25" borderId="4" xfId="3" applyFont="1" applyFill="1" applyBorder="1" applyAlignment="1" applyProtection="1">
      <alignment horizontal="center" vertical="center" wrapText="1"/>
      <protection hidden="1"/>
    </xf>
    <xf numFmtId="0" fontId="0" fillId="25" borderId="4" xfId="0" applyFill="1" applyBorder="1" applyAlignment="1" applyProtection="1">
      <alignment horizontal="center" vertical="center" wrapText="1"/>
      <protection hidden="1"/>
    </xf>
    <xf numFmtId="0" fontId="27" fillId="28" borderId="6" xfId="0" applyFont="1" applyFill="1" applyBorder="1" applyAlignment="1" applyProtection="1">
      <alignment horizontal="center" vertical="center" wrapText="1"/>
      <protection locked="0"/>
    </xf>
    <xf numFmtId="0" fontId="27" fillId="28" borderId="20"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10" fontId="27" fillId="2" borderId="6" xfId="0" applyNumberFormat="1" applyFont="1" applyFill="1" applyBorder="1" applyAlignment="1" applyProtection="1">
      <alignment horizontal="center" vertical="center" wrapText="1"/>
      <protection hidden="1"/>
    </xf>
    <xf numFmtId="10" fontId="27" fillId="2" borderId="20" xfId="0" applyNumberFormat="1" applyFont="1" applyFill="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42" fillId="2" borderId="6" xfId="0" applyFont="1" applyFill="1" applyBorder="1" applyAlignment="1" applyProtection="1">
      <alignment horizontal="center" vertical="center" wrapText="1"/>
      <protection hidden="1"/>
    </xf>
    <xf numFmtId="0" fontId="42" fillId="2" borderId="19" xfId="0" applyFont="1" applyFill="1" applyBorder="1" applyAlignment="1" applyProtection="1">
      <alignment horizontal="center" vertical="center" wrapText="1"/>
      <protection hidden="1"/>
    </xf>
    <xf numFmtId="0" fontId="42" fillId="2" borderId="20"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20" xfId="0" applyFont="1" applyFill="1" applyBorder="1" applyAlignment="1" applyProtection="1">
      <alignment horizontal="center" vertical="center" wrapText="1"/>
      <protection hidden="1"/>
    </xf>
    <xf numFmtId="0" fontId="23" fillId="2" borderId="20" xfId="0" applyFont="1" applyFill="1" applyBorder="1" applyAlignment="1" applyProtection="1">
      <alignment horizontal="center" vertical="center" wrapText="1"/>
      <protection hidden="1"/>
    </xf>
    <xf numFmtId="0" fontId="27" fillId="2" borderId="4" xfId="0" applyFont="1" applyFill="1" applyBorder="1" applyAlignment="1" applyProtection="1">
      <alignment horizontal="center" vertical="center" wrapText="1"/>
      <protection hidden="1"/>
    </xf>
    <xf numFmtId="0" fontId="14" fillId="0" borderId="2" xfId="0" applyFont="1" applyBorder="1" applyAlignment="1">
      <alignment horizontal="left" vertical="center" wrapText="1"/>
    </xf>
    <xf numFmtId="0" fontId="28" fillId="5" borderId="0" xfId="0" applyFont="1" applyFill="1" applyAlignment="1" applyProtection="1">
      <alignment horizontal="left" vertical="center" wrapText="1"/>
    </xf>
    <xf numFmtId="0" fontId="23" fillId="0" borderId="11" xfId="0" applyFont="1" applyFill="1" applyBorder="1" applyAlignment="1">
      <alignment horizontal="left" vertical="top" wrapText="1"/>
    </xf>
    <xf numFmtId="0" fontId="23" fillId="0" borderId="2" xfId="0" applyFont="1" applyFill="1" applyBorder="1" applyAlignment="1">
      <alignment horizontal="left" vertical="top" wrapText="1"/>
    </xf>
    <xf numFmtId="0" fontId="27" fillId="2" borderId="19" xfId="0" applyFont="1" applyFill="1" applyBorder="1" applyAlignment="1" applyProtection="1">
      <alignment horizontal="center" vertical="center" wrapText="1"/>
      <protection hidden="1"/>
    </xf>
    <xf numFmtId="0" fontId="81" fillId="0" borderId="13" xfId="0" applyFont="1" applyBorder="1" applyAlignment="1" applyProtection="1">
      <alignment horizontal="center" vertical="center" wrapText="1"/>
    </xf>
    <xf numFmtId="0" fontId="15" fillId="0" borderId="13" xfId="0" applyFont="1" applyBorder="1" applyAlignment="1" applyProtection="1">
      <alignment horizontal="center" wrapText="1"/>
    </xf>
    <xf numFmtId="0" fontId="15" fillId="0" borderId="0" xfId="0" applyFont="1" applyBorder="1" applyAlignment="1" applyProtection="1">
      <alignment horizontal="center" wrapText="1"/>
    </xf>
    <xf numFmtId="0" fontId="14" fillId="2" borderId="6" xfId="0" applyFont="1" applyFill="1" applyBorder="1" applyAlignment="1" applyProtection="1">
      <alignment horizontal="center" vertical="center" wrapText="1"/>
      <protection hidden="1"/>
    </xf>
    <xf numFmtId="0" fontId="14" fillId="2" borderId="20"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20" xfId="0" applyFont="1" applyFill="1" applyBorder="1" applyAlignment="1" applyProtection="1">
      <alignment horizontal="center" vertical="center"/>
      <protection hidden="1"/>
    </xf>
    <xf numFmtId="0" fontId="42" fillId="2" borderId="4" xfId="0" applyFont="1" applyFill="1" applyBorder="1" applyAlignment="1" applyProtection="1">
      <alignment horizontal="center" vertical="center" wrapText="1"/>
      <protection hidden="1"/>
    </xf>
    <xf numFmtId="0" fontId="42" fillId="7" borderId="4" xfId="0" applyFont="1" applyFill="1" applyBorder="1" applyAlignment="1" applyProtection="1">
      <alignment horizontal="center" vertical="center"/>
      <protection hidden="1"/>
    </xf>
    <xf numFmtId="0" fontId="27" fillId="2" borderId="21"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0" fontId="42" fillId="2" borderId="12" xfId="0" applyFont="1" applyFill="1" applyBorder="1" applyAlignment="1" applyProtection="1">
      <alignment horizontal="center" vertical="center" wrapText="1"/>
      <protection hidden="1"/>
    </xf>
    <xf numFmtId="0" fontId="42" fillId="2" borderId="6" xfId="0" applyFont="1" applyFill="1" applyBorder="1" applyAlignment="1" applyProtection="1">
      <alignment horizontal="center" vertical="center"/>
      <protection hidden="1"/>
    </xf>
    <xf numFmtId="0" fontId="42" fillId="2" borderId="19" xfId="0" applyFont="1" applyFill="1" applyBorder="1" applyAlignment="1" applyProtection="1">
      <alignment horizontal="center" vertical="center"/>
      <protection hidden="1"/>
    </xf>
    <xf numFmtId="0" fontId="42" fillId="2" borderId="20" xfId="0" applyFont="1" applyFill="1" applyBorder="1" applyAlignment="1" applyProtection="1">
      <alignment horizontal="center" vertical="center"/>
      <protection hidden="1"/>
    </xf>
    <xf numFmtId="0" fontId="81" fillId="0" borderId="13" xfId="0" applyFont="1" applyBorder="1" applyAlignment="1" applyProtection="1">
      <alignment horizontal="left" vertical="center" wrapText="1"/>
    </xf>
    <xf numFmtId="0" fontId="15" fillId="0" borderId="13" xfId="0" applyFont="1" applyBorder="1" applyAlignment="1" applyProtection="1">
      <alignment horizontal="left" wrapText="1"/>
    </xf>
    <xf numFmtId="0" fontId="25" fillId="2" borderId="21" xfId="0" applyFont="1" applyFill="1" applyBorder="1" applyAlignment="1" applyProtection="1">
      <alignment horizontal="center" vertical="center" wrapText="1"/>
      <protection hidden="1"/>
    </xf>
    <xf numFmtId="0" fontId="25" fillId="2" borderId="3" xfId="0" applyFont="1" applyFill="1" applyBorder="1" applyAlignment="1" applyProtection="1">
      <alignment horizontal="center" vertical="center" wrapText="1"/>
      <protection hidden="1"/>
    </xf>
    <xf numFmtId="0" fontId="28" fillId="5"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24" fillId="0" borderId="20" xfId="0" applyFont="1" applyBorder="1" applyAlignment="1" applyProtection="1">
      <alignment vertical="center" wrapText="1"/>
      <protection hidden="1"/>
    </xf>
    <xf numFmtId="0" fontId="0" fillId="0" borderId="19" xfId="0" applyBorder="1" applyAlignment="1" applyProtection="1">
      <alignment horizontal="center" vertical="center" wrapText="1"/>
      <protection hidden="1"/>
    </xf>
    <xf numFmtId="0" fontId="42" fillId="2" borderId="7" xfId="0" applyFont="1" applyFill="1" applyBorder="1" applyAlignment="1" applyProtection="1">
      <alignment horizontal="center" vertical="center" wrapText="1"/>
      <protection hidden="1"/>
    </xf>
    <xf numFmtId="0" fontId="42" fillId="2" borderId="15" xfId="0" applyFont="1" applyFill="1" applyBorder="1" applyAlignment="1" applyProtection="1">
      <alignment horizontal="center" vertical="center" wrapText="1"/>
      <protection hidden="1"/>
    </xf>
    <xf numFmtId="0" fontId="42" fillId="26" borderId="6" xfId="0" applyFont="1" applyFill="1" applyBorder="1" applyAlignment="1" applyProtection="1">
      <alignment horizontal="center" vertical="center" wrapText="1"/>
      <protection hidden="1"/>
    </xf>
    <xf numFmtId="0" fontId="0" fillId="0" borderId="20" xfId="0" applyBorder="1" applyAlignment="1" applyProtection="1">
      <alignment vertical="center" wrapText="1"/>
      <protection hidden="1"/>
    </xf>
    <xf numFmtId="0" fontId="42" fillId="2" borderId="16" xfId="0" applyFont="1" applyFill="1" applyBorder="1" applyAlignment="1" applyProtection="1">
      <alignment horizontal="center" vertical="center" wrapText="1"/>
      <protection hidden="1"/>
    </xf>
    <xf numFmtId="0" fontId="42" fillId="2" borderId="13" xfId="0" applyFont="1" applyFill="1" applyBorder="1" applyAlignment="1" applyProtection="1">
      <alignment horizontal="center" vertical="center" wrapText="1"/>
      <protection hidden="1"/>
    </xf>
    <xf numFmtId="0" fontId="0" fillId="0" borderId="13" xfId="0" applyBorder="1" applyAlignment="1" applyProtection="1">
      <alignment vertical="center" wrapText="1"/>
      <protection hidden="1"/>
    </xf>
    <xf numFmtId="0" fontId="0" fillId="0" borderId="8" xfId="0" applyBorder="1" applyAlignment="1" applyProtection="1">
      <alignment vertical="center" wrapText="1"/>
      <protection hidden="1"/>
    </xf>
    <xf numFmtId="0" fontId="42" fillId="2" borderId="2" xfId="0" applyFont="1" applyFill="1" applyBorder="1" applyAlignment="1" applyProtection="1">
      <alignment horizontal="center" vertical="center" wrapText="1"/>
      <protection hidden="1"/>
    </xf>
    <xf numFmtId="0" fontId="0" fillId="0" borderId="2" xfId="0" applyBorder="1" applyAlignment="1" applyProtection="1">
      <alignment vertical="center" wrapText="1"/>
      <protection hidden="1"/>
    </xf>
    <xf numFmtId="0" fontId="0" fillId="0" borderId="12" xfId="0" applyBorder="1" applyAlignment="1" applyProtection="1">
      <alignment vertical="center" wrapText="1"/>
      <protection hidden="1"/>
    </xf>
    <xf numFmtId="0" fontId="42" fillId="2" borderId="8" xfId="0" applyFont="1" applyFill="1" applyBorder="1" applyAlignment="1" applyProtection="1">
      <alignment horizontal="center" vertical="center" wrapText="1"/>
      <protection hidden="1"/>
    </xf>
    <xf numFmtId="0" fontId="23" fillId="0" borderId="0" xfId="0" applyFont="1" applyFill="1" applyBorder="1" applyAlignment="1">
      <alignment horizontal="left" vertical="top" wrapText="1"/>
    </xf>
    <xf numFmtId="0" fontId="42" fillId="0" borderId="0"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center" vertical="center"/>
      <protection hidden="1"/>
    </xf>
    <xf numFmtId="0" fontId="21" fillId="26" borderId="4" xfId="0" applyFont="1" applyFill="1" applyBorder="1" applyAlignment="1" applyProtection="1">
      <alignment horizontal="center" vertical="center" wrapText="1"/>
    </xf>
    <xf numFmtId="0" fontId="21" fillId="26" borderId="6" xfId="0" applyFont="1" applyFill="1" applyBorder="1" applyAlignment="1" applyProtection="1">
      <alignment horizontal="center" vertical="center" wrapText="1"/>
    </xf>
    <xf numFmtId="0" fontId="14"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8" fillId="5" borderId="0" xfId="0" applyFont="1" applyFill="1" applyAlignment="1">
      <alignment vertical="center" wrapText="1"/>
    </xf>
    <xf numFmtId="0" fontId="30" fillId="0" borderId="0" xfId="0" applyFont="1" applyAlignment="1">
      <alignment wrapText="1"/>
    </xf>
    <xf numFmtId="0" fontId="0" fillId="0" borderId="0" xfId="0" applyAlignment="1">
      <alignment wrapText="1"/>
    </xf>
    <xf numFmtId="0" fontId="21" fillId="26" borderId="11" xfId="0" applyFont="1" applyFill="1" applyBorder="1" applyAlignment="1" applyProtection="1">
      <alignment horizontal="center" vertical="center" wrapText="1"/>
    </xf>
    <xf numFmtId="0" fontId="21" fillId="26" borderId="2" xfId="0" applyFont="1" applyFill="1" applyBorder="1" applyAlignment="1" applyProtection="1">
      <alignment horizontal="center" vertical="center" wrapText="1"/>
    </xf>
    <xf numFmtId="0" fontId="21" fillId="26" borderId="12"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2" xfId="0" applyBorder="1" applyAlignment="1" applyProtection="1">
      <alignment horizontal="center" vertical="center" wrapText="1"/>
    </xf>
    <xf numFmtId="0" fontId="14" fillId="2" borderId="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10" fillId="26" borderId="6" xfId="0" applyFont="1" applyFill="1" applyBorder="1" applyAlignment="1" applyProtection="1">
      <alignment horizontal="center" vertical="center" wrapText="1"/>
    </xf>
    <xf numFmtId="0" fontId="0" fillId="26" borderId="19" xfId="0" applyFill="1" applyBorder="1" applyAlignment="1" applyProtection="1">
      <alignment horizontal="center" vertical="center" wrapText="1"/>
    </xf>
    <xf numFmtId="0" fontId="0" fillId="26" borderId="20" xfId="0" applyFill="1" applyBorder="1" applyAlignment="1" applyProtection="1">
      <alignment horizontal="center" vertical="center" wrapText="1"/>
    </xf>
    <xf numFmtId="0" fontId="23" fillId="26" borderId="4" xfId="0" applyFont="1" applyFill="1" applyBorder="1" applyAlignment="1">
      <alignment horizontal="center" vertical="center" wrapText="1"/>
    </xf>
    <xf numFmtId="0" fontId="0" fillId="26" borderId="4" xfId="0" applyFill="1" applyBorder="1" applyAlignment="1">
      <alignment vertical="center" wrapText="1"/>
    </xf>
    <xf numFmtId="0" fontId="24" fillId="0" borderId="0" xfId="0" applyFont="1" applyAlignment="1">
      <alignment wrapText="1"/>
    </xf>
    <xf numFmtId="0" fontId="28" fillId="0" borderId="0" xfId="0" applyFont="1" applyBorder="1" applyAlignment="1" applyProtection="1">
      <alignment horizontal="left" vertical="center" wrapText="1" indent="2"/>
      <protection hidden="1"/>
    </xf>
    <xf numFmtId="0" fontId="28" fillId="0" borderId="0" xfId="0" applyFont="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0" xfId="0" applyAlignment="1">
      <alignment horizontal="center" wrapText="1"/>
    </xf>
    <xf numFmtId="0" fontId="14"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4" fillId="0" borderId="6"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4" fillId="0" borderId="13" xfId="0" applyFont="1" applyBorder="1" applyAlignment="1" applyProtection="1">
      <alignment wrapText="1"/>
      <protection hidden="1"/>
    </xf>
    <xf numFmtId="0" fontId="21"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14" fillId="0" borderId="2" xfId="0" applyFont="1" applyBorder="1" applyAlignment="1">
      <alignment vertical="center" wrapText="1"/>
    </xf>
    <xf numFmtId="0" fontId="0" fillId="0" borderId="2" xfId="0" applyBorder="1" applyAlignment="1">
      <alignment vertical="center" wrapText="1"/>
    </xf>
    <xf numFmtId="0" fontId="14"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25"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0" fillId="7" borderId="3" xfId="0"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0" fillId="0" borderId="13" xfId="0" applyBorder="1" applyAlignment="1">
      <alignment horizontal="left" wrapText="1"/>
    </xf>
    <xf numFmtId="0" fontId="82" fillId="33" borderId="6" xfId="67" applyFont="1" applyFill="1" applyBorder="1" applyAlignment="1" applyProtection="1">
      <alignment horizontal="center" vertical="center" wrapText="1"/>
      <protection hidden="1"/>
    </xf>
    <xf numFmtId="0" fontId="83" fillId="33" borderId="19" xfId="3" applyFont="1" applyFill="1" applyBorder="1" applyAlignment="1">
      <alignment horizontal="center" vertical="center" wrapText="1"/>
    </xf>
    <xf numFmtId="0" fontId="83" fillId="33" borderId="20" xfId="3" applyFont="1" applyFill="1" applyBorder="1" applyAlignment="1">
      <alignment horizontal="center" vertical="center" wrapText="1"/>
    </xf>
    <xf numFmtId="0" fontId="70" fillId="20" borderId="0" xfId="67" applyFont="1" applyFill="1" applyAlignment="1" applyProtection="1">
      <alignment horizontal="right" vertical="center" wrapText="1"/>
      <protection hidden="1"/>
    </xf>
    <xf numFmtId="0" fontId="90" fillId="10" borderId="11" xfId="67" applyFont="1" applyFill="1" applyBorder="1" applyAlignment="1" applyProtection="1">
      <alignment horizontal="center" vertical="center" wrapText="1"/>
      <protection hidden="1"/>
    </xf>
    <xf numFmtId="0" fontId="14" fillId="0" borderId="2" xfId="3" applyFont="1" applyBorder="1" applyAlignment="1" applyProtection="1">
      <alignment horizontal="center" vertical="center" wrapText="1"/>
      <protection hidden="1"/>
    </xf>
    <xf numFmtId="0" fontId="14" fillId="0" borderId="12" xfId="3" applyFont="1" applyBorder="1" applyAlignment="1" applyProtection="1">
      <alignment horizontal="center" vertical="center" wrapText="1"/>
      <protection hidden="1"/>
    </xf>
    <xf numFmtId="0" fontId="0" fillId="0" borderId="16"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89" fillId="11" borderId="11" xfId="67" applyFont="1" applyFill="1" applyBorder="1" applyAlignment="1" applyProtection="1">
      <alignment horizontal="center" vertical="center" wrapText="1"/>
      <protection hidden="1"/>
    </xf>
    <xf numFmtId="0" fontId="81" fillId="0" borderId="2" xfId="3" applyFont="1" applyBorder="1" applyAlignment="1">
      <alignment horizontal="center" vertical="center" wrapText="1"/>
    </xf>
    <xf numFmtId="0" fontId="81" fillId="0" borderId="12" xfId="3" applyFont="1" applyBorder="1" applyAlignment="1">
      <alignment horizontal="center" vertical="center" wrapText="1"/>
    </xf>
    <xf numFmtId="0" fontId="131" fillId="0" borderId="7" xfId="0" applyFont="1" applyBorder="1" applyAlignment="1">
      <alignment horizontal="center" wrapText="1"/>
    </xf>
    <xf numFmtId="0" fontId="131" fillId="0" borderId="0" xfId="0" applyFont="1" applyAlignment="1">
      <alignment horizontal="center" wrapText="1"/>
    </xf>
    <xf numFmtId="0" fontId="131" fillId="0" borderId="15" xfId="0" applyFont="1" applyBorder="1" applyAlignment="1">
      <alignment horizontal="center" wrapText="1"/>
    </xf>
    <xf numFmtId="0" fontId="131" fillId="0" borderId="16" xfId="0" applyFont="1" applyBorder="1" applyAlignment="1">
      <alignment horizontal="center" wrapText="1"/>
    </xf>
    <xf numFmtId="0" fontId="131" fillId="0" borderId="13" xfId="0" applyFont="1" applyBorder="1" applyAlignment="1">
      <alignment horizontal="center" wrapText="1"/>
    </xf>
    <xf numFmtId="0" fontId="131" fillId="0" borderId="8" xfId="0" applyFont="1" applyBorder="1" applyAlignment="1">
      <alignment horizontal="center" wrapText="1"/>
    </xf>
    <xf numFmtId="0" fontId="62" fillId="13" borderId="13" xfId="67" applyFont="1" applyFill="1" applyBorder="1" applyAlignment="1" applyProtection="1">
      <alignment horizontal="left" wrapText="1"/>
      <protection hidden="1"/>
    </xf>
    <xf numFmtId="0" fontId="48" fillId="0" borderId="13" xfId="3" applyFont="1" applyBorder="1" applyAlignment="1">
      <alignment horizontal="left" wrapText="1"/>
    </xf>
    <xf numFmtId="0" fontId="58" fillId="13" borderId="13" xfId="67" applyFont="1" applyFill="1" applyBorder="1" applyAlignment="1" applyProtection="1">
      <alignment horizontal="center" wrapText="1"/>
      <protection hidden="1"/>
    </xf>
    <xf numFmtId="0" fontId="2" fillId="13" borderId="13" xfId="67" applyFill="1" applyBorder="1" applyAlignment="1" applyProtection="1">
      <alignment horizontal="center" wrapText="1"/>
      <protection hidden="1"/>
    </xf>
    <xf numFmtId="0" fontId="61" fillId="13" borderId="0" xfId="67" applyFont="1" applyFill="1" applyBorder="1" applyAlignment="1" applyProtection="1">
      <alignment horizontal="center" wrapText="1"/>
      <protection hidden="1"/>
    </xf>
    <xf numFmtId="0" fontId="61" fillId="13" borderId="13" xfId="67" applyFont="1" applyFill="1" applyBorder="1" applyAlignment="1" applyProtection="1">
      <alignment horizontal="center" wrapText="1"/>
      <protection hidden="1"/>
    </xf>
    <xf numFmtId="0" fontId="61" fillId="13" borderId="8" xfId="67" applyFont="1" applyFill="1" applyBorder="1" applyAlignment="1" applyProtection="1">
      <alignment horizontal="center" wrapText="1"/>
      <protection hidden="1"/>
    </xf>
    <xf numFmtId="0" fontId="59" fillId="13" borderId="6" xfId="67" applyFont="1" applyFill="1" applyBorder="1" applyAlignment="1" applyProtection="1">
      <alignment horizontal="center" vertical="center" wrapText="1"/>
      <protection hidden="1"/>
    </xf>
    <xf numFmtId="0" fontId="24" fillId="0" borderId="19" xfId="3" applyBorder="1" applyAlignment="1">
      <alignment horizontal="center" vertical="center" wrapText="1"/>
    </xf>
    <xf numFmtId="0" fontId="24" fillId="0" borderId="20" xfId="3" applyBorder="1" applyAlignment="1">
      <alignment horizontal="center" vertical="center" wrapText="1"/>
    </xf>
    <xf numFmtId="2" fontId="63" fillId="13" borderId="6" xfId="67" applyNumberFormat="1" applyFont="1" applyFill="1" applyBorder="1" applyAlignment="1" applyProtection="1">
      <alignment horizontal="center" vertical="center" wrapText="1"/>
      <protection hidden="1"/>
    </xf>
    <xf numFmtId="0" fontId="63" fillId="13" borderId="20" xfId="67" applyFont="1" applyFill="1" applyBorder="1" applyAlignment="1" applyProtection="1">
      <alignment vertical="center" wrapText="1"/>
      <protection hidden="1"/>
    </xf>
    <xf numFmtId="2" fontId="82" fillId="33" borderId="4" xfId="67" applyNumberFormat="1" applyFont="1" applyFill="1" applyBorder="1" applyAlignment="1" applyProtection="1">
      <alignment horizontal="center" vertical="center" wrapText="1"/>
      <protection hidden="1"/>
    </xf>
    <xf numFmtId="2" fontId="82" fillId="33" borderId="4" xfId="67" applyNumberFormat="1" applyFont="1" applyFill="1" applyBorder="1" applyAlignment="1" applyProtection="1">
      <alignment horizontal="center" vertical="center"/>
      <protection hidden="1"/>
    </xf>
    <xf numFmtId="0" fontId="82" fillId="33" borderId="20" xfId="67" applyFont="1" applyFill="1" applyBorder="1" applyAlignment="1" applyProtection="1">
      <alignment horizontal="center" vertical="center" wrapText="1"/>
      <protection hidden="1"/>
    </xf>
    <xf numFmtId="0" fontId="70" fillId="19" borderId="0" xfId="67" applyFont="1" applyFill="1" applyAlignment="1" applyProtection="1">
      <alignment horizontal="right" vertical="center" wrapText="1"/>
      <protection hidden="1"/>
    </xf>
    <xf numFmtId="0" fontId="70" fillId="34" borderId="0" xfId="67" applyFont="1" applyFill="1" applyAlignment="1" applyProtection="1">
      <alignment vertical="center" wrapText="1"/>
      <protection hidden="1"/>
    </xf>
    <xf numFmtId="0" fontId="2" fillId="0" borderId="0" xfId="67" applyAlignment="1" applyProtection="1">
      <alignment wrapText="1"/>
      <protection hidden="1"/>
    </xf>
    <xf numFmtId="0" fontId="58" fillId="13" borderId="6" xfId="67" applyFont="1" applyFill="1" applyBorder="1" applyAlignment="1" applyProtection="1">
      <alignment horizontal="center" vertical="center" wrapText="1"/>
      <protection hidden="1"/>
    </xf>
    <xf numFmtId="0" fontId="89" fillId="13" borderId="11" xfId="67" applyFont="1" applyFill="1" applyBorder="1" applyAlignment="1" applyProtection="1">
      <alignment horizontal="center" vertical="center" wrapText="1"/>
      <protection hidden="1"/>
    </xf>
    <xf numFmtId="0" fontId="81" fillId="0" borderId="2" xfId="3" applyFont="1" applyBorder="1" applyAlignment="1" applyProtection="1">
      <alignment horizontal="center" vertical="center" wrapText="1"/>
      <protection hidden="1"/>
    </xf>
    <xf numFmtId="0" fontId="81" fillId="0" borderId="12" xfId="3" applyFont="1" applyBorder="1" applyAlignment="1" applyProtection="1">
      <alignment horizontal="center" vertical="center" wrapText="1"/>
      <protection hidden="1"/>
    </xf>
    <xf numFmtId="0" fontId="81" fillId="0" borderId="16" xfId="3" applyFont="1" applyBorder="1" applyAlignment="1" applyProtection="1">
      <alignment horizontal="center" vertical="center" wrapText="1"/>
      <protection hidden="1"/>
    </xf>
    <xf numFmtId="0" fontId="81" fillId="0" borderId="13" xfId="3" applyFont="1" applyBorder="1" applyAlignment="1" applyProtection="1">
      <alignment horizontal="center" vertical="center" wrapText="1"/>
      <protection hidden="1"/>
    </xf>
    <xf numFmtId="0" fontId="81" fillId="0" borderId="8" xfId="3" applyFont="1" applyBorder="1" applyAlignment="1" applyProtection="1">
      <alignment horizontal="center" vertical="center" wrapText="1"/>
      <protection hidden="1"/>
    </xf>
    <xf numFmtId="0" fontId="62" fillId="13" borderId="2" xfId="67" applyFont="1" applyFill="1" applyBorder="1" applyAlignment="1" applyProtection="1">
      <alignment horizontal="left" vertical="center" wrapText="1"/>
      <protection hidden="1"/>
    </xf>
    <xf numFmtId="0" fontId="62" fillId="13" borderId="12" xfId="67" applyFont="1" applyFill="1" applyBorder="1" applyAlignment="1" applyProtection="1">
      <alignment horizontal="left" vertical="center" wrapText="1"/>
      <protection hidden="1"/>
    </xf>
    <xf numFmtId="0" fontId="59" fillId="11" borderId="6" xfId="67" applyFont="1" applyFill="1" applyBorder="1" applyAlignment="1" applyProtection="1">
      <alignment horizontal="center" vertical="center" wrapText="1"/>
      <protection hidden="1"/>
    </xf>
    <xf numFmtId="10" fontId="63" fillId="11" borderId="6" xfId="67" applyNumberFormat="1" applyFont="1" applyFill="1" applyBorder="1" applyAlignment="1" applyProtection="1">
      <alignment horizontal="center" vertical="center" wrapText="1"/>
      <protection hidden="1"/>
    </xf>
    <xf numFmtId="0" fontId="24" fillId="0" borderId="20" xfId="3" applyBorder="1" applyAlignment="1">
      <alignment vertical="center" wrapText="1"/>
    </xf>
    <xf numFmtId="0" fontId="63" fillId="11" borderId="20" xfId="67" applyFont="1" applyFill="1" applyBorder="1" applyAlignment="1" applyProtection="1">
      <alignment vertical="center" wrapText="1"/>
      <protection hidden="1"/>
    </xf>
    <xf numFmtId="10" fontId="82" fillId="19" borderId="4" xfId="67" applyNumberFormat="1" applyFont="1" applyFill="1" applyBorder="1" applyAlignment="1" applyProtection="1">
      <alignment horizontal="center" vertical="center" wrapText="1"/>
      <protection hidden="1"/>
    </xf>
    <xf numFmtId="0" fontId="82" fillId="19" borderId="4" xfId="67" applyFont="1" applyFill="1" applyBorder="1" applyAlignment="1" applyProtection="1">
      <alignment horizontal="center" vertical="center"/>
      <protection hidden="1"/>
    </xf>
    <xf numFmtId="0" fontId="82" fillId="19" borderId="6" xfId="67" applyFont="1" applyFill="1" applyBorder="1" applyAlignment="1" applyProtection="1">
      <alignment horizontal="center" vertical="center" wrapText="1"/>
      <protection hidden="1"/>
    </xf>
    <xf numFmtId="0" fontId="82" fillId="19" borderId="20" xfId="67" applyFont="1" applyFill="1" applyBorder="1" applyAlignment="1" applyProtection="1">
      <alignment horizontal="center" vertical="center" wrapText="1"/>
      <protection hidden="1"/>
    </xf>
    <xf numFmtId="0" fontId="83" fillId="19" borderId="19" xfId="3" applyFont="1" applyFill="1" applyBorder="1" applyAlignment="1">
      <alignment horizontal="center" vertical="center" wrapText="1"/>
    </xf>
    <xf numFmtId="0" fontId="83" fillId="19" borderId="20" xfId="3" applyFont="1" applyFill="1" applyBorder="1" applyAlignment="1">
      <alignment horizontal="center" vertical="center" wrapText="1"/>
    </xf>
    <xf numFmtId="0" fontId="58" fillId="11" borderId="6" xfId="67" applyFont="1" applyFill="1" applyBorder="1" applyAlignment="1" applyProtection="1">
      <alignment horizontal="center" vertical="center" wrapText="1"/>
      <protection hidden="1"/>
    </xf>
    <xf numFmtId="0" fontId="62" fillId="11" borderId="2" xfId="67" applyFont="1" applyFill="1" applyBorder="1" applyAlignment="1" applyProtection="1">
      <alignment horizontal="left" vertical="center" wrapText="1"/>
      <protection hidden="1"/>
    </xf>
    <xf numFmtId="0" fontId="62" fillId="11" borderId="12" xfId="67" applyFont="1" applyFill="1" applyBorder="1" applyAlignment="1" applyProtection="1">
      <alignment horizontal="left" vertical="center" wrapText="1"/>
      <protection hidden="1"/>
    </xf>
    <xf numFmtId="0" fontId="61" fillId="11" borderId="0" xfId="67" applyFont="1" applyFill="1" applyBorder="1" applyAlignment="1" applyProtection="1">
      <alignment horizontal="center" wrapText="1"/>
      <protection hidden="1"/>
    </xf>
    <xf numFmtId="0" fontId="61" fillId="11" borderId="13" xfId="67" applyFont="1" applyFill="1" applyBorder="1" applyAlignment="1" applyProtection="1">
      <alignment horizontal="center" wrapText="1"/>
      <protection hidden="1"/>
    </xf>
    <xf numFmtId="0" fontId="61" fillId="11" borderId="8" xfId="67" applyFont="1" applyFill="1" applyBorder="1" applyAlignment="1" applyProtection="1">
      <alignment horizontal="center" wrapText="1"/>
      <protection hidden="1"/>
    </xf>
    <xf numFmtId="0" fontId="86" fillId="11" borderId="6" xfId="67" applyFont="1" applyFill="1" applyBorder="1" applyAlignment="1" applyProtection="1">
      <alignment horizontal="left" vertical="center" wrapText="1" indent="3"/>
      <protection hidden="1"/>
    </xf>
    <xf numFmtId="0" fontId="86" fillId="11" borderId="19" xfId="67" applyFont="1" applyFill="1" applyBorder="1" applyAlignment="1" applyProtection="1">
      <alignment horizontal="left" vertical="center" wrapText="1" indent="3"/>
      <protection hidden="1"/>
    </xf>
    <xf numFmtId="0" fontId="69" fillId="11" borderId="19" xfId="67" applyFont="1" applyFill="1" applyBorder="1" applyAlignment="1" applyProtection="1">
      <alignment horizontal="left" vertical="center" wrapText="1" indent="3"/>
      <protection hidden="1"/>
    </xf>
    <xf numFmtId="0" fontId="69" fillId="11" borderId="20" xfId="67" applyFont="1" applyFill="1" applyBorder="1" applyAlignment="1" applyProtection="1">
      <alignment horizontal="left" vertical="center" wrapText="1" indent="3"/>
      <protection hidden="1"/>
    </xf>
    <xf numFmtId="0" fontId="58" fillId="11" borderId="11" xfId="67" applyFont="1" applyFill="1" applyBorder="1" applyAlignment="1" applyProtection="1">
      <alignment horizontal="center" vertical="center" wrapText="1"/>
      <protection hidden="1"/>
    </xf>
    <xf numFmtId="0" fontId="2" fillId="11" borderId="2" xfId="67" applyFill="1" applyBorder="1" applyAlignment="1" applyProtection="1">
      <alignment horizontal="center" vertical="center" wrapText="1"/>
      <protection hidden="1"/>
    </xf>
    <xf numFmtId="0" fontId="2" fillId="11" borderId="12" xfId="67" applyFill="1" applyBorder="1" applyAlignment="1" applyProtection="1">
      <alignment horizontal="center" vertical="center" wrapText="1"/>
      <protection hidden="1"/>
    </xf>
    <xf numFmtId="0" fontId="58" fillId="11" borderId="4" xfId="67" applyFont="1" applyFill="1" applyBorder="1" applyAlignment="1" applyProtection="1">
      <alignment horizontal="center" textRotation="90" wrapText="1"/>
      <protection hidden="1"/>
    </xf>
    <xf numFmtId="0" fontId="58" fillId="11" borderId="16" xfId="67" applyFont="1" applyFill="1" applyBorder="1" applyAlignment="1" applyProtection="1">
      <alignment horizontal="center" vertical="center" wrapText="1"/>
      <protection hidden="1"/>
    </xf>
    <xf numFmtId="0" fontId="24" fillId="0" borderId="8" xfId="3" applyBorder="1" applyAlignment="1">
      <alignment horizontal="center" vertical="center" wrapText="1"/>
    </xf>
    <xf numFmtId="10" fontId="56" fillId="11" borderId="6" xfId="67" applyNumberFormat="1" applyFont="1" applyFill="1" applyBorder="1" applyAlignment="1" applyProtection="1">
      <alignment horizontal="center" vertical="center" wrapText="1"/>
      <protection hidden="1"/>
    </xf>
    <xf numFmtId="0" fontId="56" fillId="11" borderId="20" xfId="67" applyFont="1" applyFill="1" applyBorder="1" applyAlignment="1" applyProtection="1">
      <alignment vertical="center" wrapText="1"/>
      <protection hidden="1"/>
    </xf>
    <xf numFmtId="0" fontId="82" fillId="30" borderId="24" xfId="67" applyFont="1" applyFill="1" applyBorder="1" applyAlignment="1" applyProtection="1">
      <alignment horizontal="center" vertical="center" wrapText="1"/>
      <protection hidden="1"/>
    </xf>
    <xf numFmtId="0" fontId="82" fillId="30" borderId="10" xfId="67" applyFont="1" applyFill="1" applyBorder="1" applyAlignment="1" applyProtection="1">
      <alignment horizontal="center" vertical="center" wrapText="1"/>
      <protection hidden="1"/>
    </xf>
    <xf numFmtId="0" fontId="66" fillId="10" borderId="6" xfId="67" applyFont="1" applyFill="1" applyBorder="1" applyAlignment="1" applyProtection="1">
      <alignment horizontal="center" vertical="center" wrapText="1"/>
      <protection hidden="1"/>
    </xf>
    <xf numFmtId="0" fontId="24" fillId="0" borderId="19" xfId="3" applyBorder="1" applyAlignment="1" applyProtection="1">
      <alignment horizontal="center" wrapText="1"/>
      <protection hidden="1"/>
    </xf>
    <xf numFmtId="0" fontId="24" fillId="0" borderId="20" xfId="3" applyBorder="1" applyAlignment="1" applyProtection="1">
      <alignment horizontal="center" wrapText="1"/>
      <protection hidden="1"/>
    </xf>
    <xf numFmtId="0" fontId="82" fillId="30" borderId="6" xfId="67" applyFont="1" applyFill="1" applyBorder="1" applyAlignment="1" applyProtection="1">
      <alignment horizontal="center" vertical="center" wrapText="1"/>
      <protection hidden="1"/>
    </xf>
    <xf numFmtId="0" fontId="83" fillId="30" borderId="19" xfId="3" applyFont="1" applyFill="1" applyBorder="1" applyAlignment="1" applyProtection="1">
      <alignment horizontal="center" vertical="center" wrapText="1"/>
      <protection hidden="1"/>
    </xf>
    <xf numFmtId="0" fontId="83" fillId="30" borderId="20" xfId="3" applyFont="1" applyFill="1" applyBorder="1" applyAlignment="1" applyProtection="1">
      <alignment horizontal="center" vertical="center" wrapText="1"/>
      <protection hidden="1"/>
    </xf>
    <xf numFmtId="0" fontId="70" fillId="18" borderId="0" xfId="67" applyFont="1" applyFill="1" applyAlignment="1" applyProtection="1">
      <alignment horizontal="right" vertical="center" wrapText="1"/>
      <protection hidden="1"/>
    </xf>
    <xf numFmtId="0" fontId="70" fillId="32" borderId="0" xfId="67" applyFont="1" applyFill="1" applyAlignment="1" applyProtection="1">
      <alignment vertical="center" wrapText="1"/>
      <protection hidden="1"/>
    </xf>
    <xf numFmtId="0" fontId="61" fillId="31" borderId="5" xfId="67" applyFont="1" applyFill="1" applyBorder="1" applyAlignment="1" applyProtection="1">
      <alignment horizontal="center" vertical="center" textRotation="90" wrapText="1"/>
      <protection hidden="1"/>
    </xf>
    <xf numFmtId="0" fontId="61" fillId="31" borderId="3" xfId="67" applyFont="1" applyFill="1" applyBorder="1" applyAlignment="1" applyProtection="1">
      <alignment horizontal="center" vertical="center" textRotation="90" wrapText="1"/>
      <protection hidden="1"/>
    </xf>
    <xf numFmtId="0" fontId="59" fillId="10" borderId="22" xfId="67" applyFont="1" applyFill="1" applyBorder="1" applyAlignment="1" applyProtection="1">
      <alignment horizontal="center" vertical="center" wrapText="1"/>
      <protection hidden="1"/>
    </xf>
    <xf numFmtId="0" fontId="24" fillId="0" borderId="25" xfId="3" applyBorder="1" applyAlignment="1" applyProtection="1">
      <alignment horizontal="center" wrapText="1"/>
      <protection hidden="1"/>
    </xf>
    <xf numFmtId="0" fontId="24" fillId="0" borderId="23" xfId="3" applyBorder="1" applyAlignment="1" applyProtection="1">
      <alignment horizontal="center" wrapText="1"/>
      <protection hidden="1"/>
    </xf>
    <xf numFmtId="10" fontId="56" fillId="10" borderId="14" xfId="67" applyNumberFormat="1" applyFont="1" applyFill="1" applyBorder="1" applyAlignment="1" applyProtection="1">
      <alignment horizontal="center" vertical="center" wrapText="1"/>
      <protection hidden="1"/>
    </xf>
    <xf numFmtId="0" fontId="63" fillId="10" borderId="14" xfId="67" applyFont="1" applyFill="1" applyBorder="1" applyAlignment="1" applyProtection="1">
      <alignment vertical="center"/>
      <protection hidden="1"/>
    </xf>
    <xf numFmtId="10" fontId="82" fillId="18" borderId="14" xfId="67" applyNumberFormat="1" applyFont="1" applyFill="1" applyBorder="1" applyAlignment="1" applyProtection="1">
      <alignment horizontal="center" vertical="center" wrapText="1"/>
      <protection hidden="1"/>
    </xf>
    <xf numFmtId="0" fontId="82" fillId="18" borderId="14" xfId="67" applyFont="1" applyFill="1" applyBorder="1" applyAlignment="1" applyProtection="1">
      <alignment horizontal="center" vertical="center"/>
      <protection hidden="1"/>
    </xf>
    <xf numFmtId="0" fontId="82" fillId="30" borderId="22" xfId="67" applyFont="1" applyFill="1" applyBorder="1" applyAlignment="1" applyProtection="1">
      <alignment horizontal="center" vertical="center" wrapText="1"/>
      <protection hidden="1"/>
    </xf>
    <xf numFmtId="0" fontId="82" fillId="30" borderId="23" xfId="67" applyFont="1" applyFill="1" applyBorder="1" applyAlignment="1" applyProtection="1">
      <alignment horizontal="center" vertical="center" wrapText="1"/>
      <protection hidden="1"/>
    </xf>
    <xf numFmtId="0" fontId="59" fillId="10" borderId="24" xfId="67" applyFont="1" applyFill="1" applyBorder="1" applyAlignment="1" applyProtection="1">
      <alignment horizontal="center" vertical="center" wrapText="1"/>
      <protection hidden="1"/>
    </xf>
    <xf numFmtId="0" fontId="24" fillId="0" borderId="26" xfId="3" applyBorder="1" applyAlignment="1" applyProtection="1">
      <alignment horizontal="center" wrapText="1"/>
      <protection hidden="1"/>
    </xf>
    <xf numFmtId="0" fontId="24" fillId="0" borderId="10" xfId="3" applyBorder="1" applyAlignment="1" applyProtection="1">
      <alignment horizontal="center" wrapText="1"/>
      <protection hidden="1"/>
    </xf>
    <xf numFmtId="10" fontId="56" fillId="10" borderId="9" xfId="67" applyNumberFormat="1" applyFont="1" applyFill="1" applyBorder="1" applyAlignment="1" applyProtection="1">
      <alignment horizontal="center" vertical="center" wrapText="1"/>
      <protection hidden="1"/>
    </xf>
    <xf numFmtId="10" fontId="63" fillId="10" borderId="9" xfId="67" applyNumberFormat="1" applyFont="1" applyFill="1" applyBorder="1" applyAlignment="1" applyProtection="1">
      <alignment vertical="center"/>
      <protection hidden="1"/>
    </xf>
    <xf numFmtId="10" fontId="82" fillId="18" borderId="9" xfId="67" applyNumberFormat="1" applyFont="1" applyFill="1" applyBorder="1" applyAlignment="1" applyProtection="1">
      <alignment horizontal="center" vertical="center" wrapText="1"/>
      <protection hidden="1"/>
    </xf>
    <xf numFmtId="0" fontId="82" fillId="18" borderId="9" xfId="67" applyFont="1" applyFill="1" applyBorder="1" applyAlignment="1" applyProtection="1">
      <alignment horizontal="center" vertical="center"/>
      <protection hidden="1"/>
    </xf>
    <xf numFmtId="0" fontId="58" fillId="10" borderId="6" xfId="67" applyFont="1" applyFill="1" applyBorder="1" applyAlignment="1" applyProtection="1">
      <alignment horizontal="center" vertical="center" wrapText="1"/>
      <protection hidden="1"/>
    </xf>
    <xf numFmtId="0" fontId="24" fillId="0" borderId="20" xfId="3" applyBorder="1" applyAlignment="1" applyProtection="1">
      <alignment horizontal="center" vertical="center" wrapText="1"/>
      <protection hidden="1"/>
    </xf>
    <xf numFmtId="0" fontId="62" fillId="10" borderId="11" xfId="67" applyFont="1" applyFill="1" applyBorder="1" applyAlignment="1" applyProtection="1">
      <alignment horizontal="left" vertical="top" wrapText="1"/>
      <protection hidden="1"/>
    </xf>
    <xf numFmtId="0" fontId="62" fillId="10" borderId="2" xfId="67" applyFont="1" applyFill="1" applyBorder="1" applyAlignment="1" applyProtection="1">
      <alignment horizontal="left" vertical="top" wrapText="1"/>
      <protection hidden="1"/>
    </xf>
    <xf numFmtId="0" fontId="62" fillId="10" borderId="12" xfId="67" applyFont="1" applyFill="1" applyBorder="1" applyAlignment="1" applyProtection="1">
      <alignment horizontal="left" vertical="top" wrapText="1"/>
      <protection hidden="1"/>
    </xf>
    <xf numFmtId="0" fontId="62" fillId="10" borderId="16" xfId="67" applyFont="1" applyFill="1" applyBorder="1" applyAlignment="1" applyProtection="1">
      <alignment horizontal="left" vertical="top" wrapText="1"/>
      <protection hidden="1"/>
    </xf>
    <xf numFmtId="0" fontId="62" fillId="10" borderId="13" xfId="67" applyFont="1" applyFill="1" applyBorder="1" applyAlignment="1" applyProtection="1">
      <alignment horizontal="left" vertical="top" wrapText="1"/>
      <protection hidden="1"/>
    </xf>
    <xf numFmtId="0" fontId="61" fillId="10" borderId="13" xfId="67" applyFont="1" applyFill="1" applyBorder="1" applyAlignment="1" applyProtection="1">
      <alignment horizontal="center" wrapText="1"/>
      <protection hidden="1"/>
    </xf>
    <xf numFmtId="0" fontId="53" fillId="10" borderId="13" xfId="67" applyFont="1" applyFill="1" applyBorder="1" applyAlignment="1" applyProtection="1">
      <alignment horizontal="center" wrapText="1"/>
      <protection hidden="1"/>
    </xf>
    <xf numFmtId="0" fontId="65" fillId="10" borderId="0" xfId="67" applyFont="1" applyFill="1" applyBorder="1" applyAlignment="1" applyProtection="1">
      <alignment horizontal="center" wrapText="1"/>
      <protection hidden="1"/>
    </xf>
    <xf numFmtId="0" fontId="61" fillId="10" borderId="0" xfId="67" applyFont="1" applyFill="1" applyBorder="1" applyAlignment="1" applyProtection="1">
      <alignment horizontal="center" wrapText="1"/>
      <protection hidden="1"/>
    </xf>
    <xf numFmtId="0" fontId="61" fillId="10" borderId="8" xfId="67" applyFont="1" applyFill="1" applyBorder="1" applyAlignment="1" applyProtection="1">
      <alignment horizontal="center" wrapText="1"/>
      <protection hidden="1"/>
    </xf>
    <xf numFmtId="0" fontId="86" fillId="10" borderId="6" xfId="67" applyFont="1" applyFill="1" applyBorder="1" applyAlignment="1" applyProtection="1">
      <alignment horizontal="left" vertical="center" wrapText="1" indent="3"/>
      <protection hidden="1"/>
    </xf>
    <xf numFmtId="0" fontId="86" fillId="10" borderId="19" xfId="67" applyFont="1" applyFill="1" applyBorder="1" applyAlignment="1" applyProtection="1">
      <alignment horizontal="left" vertical="center" wrapText="1" indent="3"/>
      <protection hidden="1"/>
    </xf>
    <xf numFmtId="0" fontId="86" fillId="10" borderId="20" xfId="67" applyFont="1" applyFill="1" applyBorder="1" applyAlignment="1" applyProtection="1">
      <alignment horizontal="left" vertical="center" wrapText="1" indent="3"/>
      <protection hidden="1"/>
    </xf>
    <xf numFmtId="0" fontId="62" fillId="10" borderId="16" xfId="67" applyFont="1" applyFill="1" applyBorder="1" applyAlignment="1" applyProtection="1">
      <alignment horizontal="left" vertical="center" wrapText="1"/>
      <protection hidden="1"/>
    </xf>
    <xf numFmtId="0" fontId="62" fillId="10" borderId="13" xfId="67" applyFont="1" applyFill="1" applyBorder="1" applyAlignment="1" applyProtection="1">
      <alignment horizontal="left" vertical="center" wrapText="1"/>
      <protection hidden="1"/>
    </xf>
    <xf numFmtId="0" fontId="61" fillId="31" borderId="5" xfId="67" quotePrefix="1" applyFont="1" applyFill="1" applyBorder="1" applyAlignment="1" applyProtection="1">
      <alignment horizontal="center" vertical="center" textRotation="90" wrapText="1"/>
      <protection hidden="1"/>
    </xf>
    <xf numFmtId="0" fontId="62" fillId="10" borderId="11" xfId="67" applyFont="1" applyFill="1" applyBorder="1" applyAlignment="1" applyProtection="1">
      <alignment horizontal="left" vertical="center" wrapText="1"/>
      <protection hidden="1"/>
    </xf>
    <xf numFmtId="0" fontId="62" fillId="10" borderId="2" xfId="67" applyFont="1" applyFill="1" applyBorder="1" applyAlignment="1" applyProtection="1">
      <alignment horizontal="left" vertical="center"/>
      <protection hidden="1"/>
    </xf>
    <xf numFmtId="0" fontId="48" fillId="0" borderId="2" xfId="3" applyFont="1" applyBorder="1" applyAlignment="1" applyProtection="1">
      <alignment horizontal="left" vertical="center"/>
      <protection hidden="1"/>
    </xf>
    <xf numFmtId="0" fontId="48" fillId="0" borderId="12" xfId="3" applyFont="1" applyBorder="1" applyAlignment="1" applyProtection="1">
      <alignment horizontal="left" vertical="center"/>
      <protection hidden="1"/>
    </xf>
    <xf numFmtId="0" fontId="82" fillId="17" borderId="24" xfId="67" applyFont="1" applyFill="1" applyBorder="1" applyAlignment="1" applyProtection="1">
      <alignment horizontal="center" vertical="center" wrapText="1"/>
      <protection hidden="1"/>
    </xf>
    <xf numFmtId="0" fontId="82" fillId="17" borderId="10" xfId="67" applyFont="1" applyFill="1" applyBorder="1" applyAlignment="1" applyProtection="1">
      <alignment horizontal="center" vertical="center" wrapText="1"/>
      <protection hidden="1"/>
    </xf>
    <xf numFmtId="0" fontId="75" fillId="27" borderId="6" xfId="67" applyFont="1" applyFill="1" applyBorder="1" applyAlignment="1" applyProtection="1">
      <alignment horizontal="right" vertical="center" wrapText="1"/>
      <protection hidden="1"/>
    </xf>
    <xf numFmtId="0" fontId="14" fillId="0" borderId="19" xfId="3" applyFont="1" applyBorder="1" applyAlignment="1">
      <alignment horizontal="right" wrapText="1"/>
    </xf>
    <xf numFmtId="0" fontId="82" fillId="17" borderId="6" xfId="67" applyFont="1" applyFill="1" applyBorder="1" applyAlignment="1" applyProtection="1">
      <alignment horizontal="center" vertical="center" wrapText="1"/>
      <protection hidden="1"/>
    </xf>
    <xf numFmtId="0" fontId="83" fillId="17" borderId="19" xfId="3" applyFont="1" applyFill="1" applyBorder="1" applyAlignment="1">
      <alignment horizontal="center" vertical="center" wrapText="1"/>
    </xf>
    <xf numFmtId="0" fontId="83" fillId="17" borderId="20" xfId="3" applyFont="1" applyFill="1" applyBorder="1" applyAlignment="1">
      <alignment horizontal="center" vertical="center" wrapText="1"/>
    </xf>
    <xf numFmtId="0" fontId="70" fillId="17" borderId="0" xfId="67" applyFont="1" applyFill="1" applyAlignment="1" applyProtection="1">
      <alignment horizontal="right" vertical="center" wrapText="1"/>
      <protection hidden="1"/>
    </xf>
    <xf numFmtId="0" fontId="70" fillId="30" borderId="0" xfId="67" applyFont="1" applyFill="1" applyAlignment="1" applyProtection="1">
      <alignment horizontal="left" vertical="center" wrapText="1"/>
      <protection hidden="1"/>
    </xf>
    <xf numFmtId="0" fontId="65" fillId="29" borderId="5" xfId="67" applyFont="1" applyFill="1" applyBorder="1" applyAlignment="1" applyProtection="1">
      <alignment horizontal="center" vertical="center" textRotation="90" wrapText="1"/>
      <protection hidden="1"/>
    </xf>
    <xf numFmtId="0" fontId="65" fillId="29" borderId="3" xfId="67" applyFont="1" applyFill="1" applyBorder="1" applyAlignment="1" applyProtection="1">
      <alignment horizontal="center" vertical="center" textRotation="90" wrapText="1"/>
      <protection hidden="1"/>
    </xf>
    <xf numFmtId="0" fontId="59" fillId="9" borderId="22" xfId="67" applyFont="1" applyFill="1" applyBorder="1" applyAlignment="1" applyProtection="1">
      <alignment horizontal="center" vertical="center" wrapText="1"/>
      <protection hidden="1"/>
    </xf>
    <xf numFmtId="0" fontId="24" fillId="0" borderId="25" xfId="3" applyBorder="1" applyAlignment="1">
      <alignment horizontal="center" wrapText="1"/>
    </xf>
    <xf numFmtId="0" fontId="24" fillId="0" borderId="23" xfId="3" applyBorder="1" applyAlignment="1">
      <alignment horizontal="center" wrapText="1"/>
    </xf>
    <xf numFmtId="10" fontId="56" fillId="9" borderId="22" xfId="67" applyNumberFormat="1" applyFont="1" applyFill="1" applyBorder="1" applyAlignment="1" applyProtection="1">
      <alignment horizontal="center" vertical="center" wrapText="1"/>
      <protection hidden="1"/>
    </xf>
    <xf numFmtId="10" fontId="56" fillId="9" borderId="23" xfId="67" applyNumberFormat="1" applyFont="1" applyFill="1" applyBorder="1" applyAlignment="1" applyProtection="1">
      <alignment horizontal="center" vertical="center" wrapText="1"/>
      <protection hidden="1"/>
    </xf>
    <xf numFmtId="10" fontId="82" fillId="17" borderId="14" xfId="67" applyNumberFormat="1" applyFont="1" applyFill="1" applyBorder="1" applyAlignment="1" applyProtection="1">
      <alignment horizontal="center" vertical="center" wrapText="1"/>
      <protection hidden="1"/>
    </xf>
    <xf numFmtId="0" fontId="82" fillId="17" borderId="14" xfId="67" applyFont="1" applyFill="1" applyBorder="1" applyAlignment="1" applyProtection="1">
      <alignment horizontal="center" vertical="center"/>
      <protection hidden="1"/>
    </xf>
    <xf numFmtId="0" fontId="82" fillId="17" borderId="22" xfId="67" applyFont="1" applyFill="1" applyBorder="1" applyAlignment="1" applyProtection="1">
      <alignment horizontal="center" vertical="center" wrapText="1"/>
      <protection hidden="1"/>
    </xf>
    <xf numFmtId="0" fontId="82" fillId="17" borderId="23" xfId="67" applyFont="1" applyFill="1" applyBorder="1" applyAlignment="1" applyProtection="1">
      <alignment horizontal="center" vertical="center" wrapText="1"/>
      <protection hidden="1"/>
    </xf>
    <xf numFmtId="0" fontId="59" fillId="9" borderId="24" xfId="67" applyFont="1" applyFill="1" applyBorder="1" applyAlignment="1" applyProtection="1">
      <alignment horizontal="center" vertical="center" wrapText="1"/>
      <protection hidden="1"/>
    </xf>
    <xf numFmtId="0" fontId="24" fillId="0" borderId="26" xfId="3" applyBorder="1" applyAlignment="1">
      <alignment horizontal="center" wrapText="1"/>
    </xf>
    <xf numFmtId="0" fontId="24" fillId="0" borderId="10" xfId="3" applyBorder="1" applyAlignment="1">
      <alignment horizontal="center" wrapText="1"/>
    </xf>
    <xf numFmtId="2" fontId="56" fillId="9" borderId="24" xfId="67" applyNumberFormat="1" applyFont="1" applyFill="1" applyBorder="1" applyAlignment="1" applyProtection="1">
      <alignment horizontal="center" vertical="center" wrapText="1"/>
      <protection hidden="1"/>
    </xf>
    <xf numFmtId="2" fontId="56" fillId="9" borderId="10" xfId="67" applyNumberFormat="1" applyFont="1" applyFill="1" applyBorder="1" applyAlignment="1" applyProtection="1">
      <alignment horizontal="center" vertical="center" wrapText="1"/>
      <protection hidden="1"/>
    </xf>
    <xf numFmtId="2" fontId="82" fillId="17" borderId="9" xfId="67" applyNumberFormat="1" applyFont="1" applyFill="1" applyBorder="1" applyAlignment="1" applyProtection="1">
      <alignment horizontal="center" vertical="center" wrapText="1"/>
      <protection hidden="1"/>
    </xf>
    <xf numFmtId="0" fontId="82" fillId="17" borderId="9" xfId="67" applyFont="1" applyFill="1" applyBorder="1" applyAlignment="1" applyProtection="1">
      <alignment horizontal="center" vertical="center"/>
      <protection hidden="1"/>
    </xf>
    <xf numFmtId="0" fontId="58" fillId="9" borderId="16" xfId="67" applyFont="1" applyFill="1" applyBorder="1" applyAlignment="1" applyProtection="1">
      <alignment horizontal="center" vertical="center" wrapText="1"/>
      <protection hidden="1"/>
    </xf>
    <xf numFmtId="0" fontId="58" fillId="9" borderId="8" xfId="67" applyFont="1" applyFill="1" applyBorder="1" applyAlignment="1" applyProtection="1">
      <alignment horizontal="center" vertical="center" wrapText="1"/>
      <protection hidden="1"/>
    </xf>
    <xf numFmtId="0" fontId="58" fillId="9" borderId="6" xfId="67" applyFont="1" applyFill="1" applyBorder="1" applyAlignment="1" applyProtection="1">
      <alignment horizontal="center" vertical="center" wrapText="1"/>
      <protection hidden="1"/>
    </xf>
    <xf numFmtId="0" fontId="61" fillId="9" borderId="0" xfId="67" applyFont="1" applyFill="1" applyBorder="1" applyAlignment="1" applyProtection="1">
      <alignment horizontal="center" wrapText="1"/>
      <protection hidden="1"/>
    </xf>
    <xf numFmtId="2" fontId="65" fillId="9" borderId="13" xfId="67" applyNumberFormat="1" applyFont="1" applyFill="1" applyBorder="1" applyAlignment="1" applyProtection="1">
      <alignment horizontal="center" wrapText="1"/>
      <protection hidden="1"/>
    </xf>
    <xf numFmtId="0" fontId="61" fillId="0" borderId="8" xfId="67" applyFont="1" applyBorder="1" applyAlignment="1">
      <alignment horizontal="center" wrapText="1"/>
    </xf>
    <xf numFmtId="0" fontId="82" fillId="17" borderId="10" xfId="67" applyFont="1" applyFill="1" applyBorder="1" applyAlignment="1">
      <alignment vertical="center" wrapText="1"/>
    </xf>
    <xf numFmtId="0" fontId="86" fillId="9" borderId="19" xfId="67" quotePrefix="1" applyFont="1" applyFill="1" applyBorder="1" applyAlignment="1" applyProtection="1">
      <alignment horizontal="left" vertical="center" wrapText="1"/>
      <protection locked="0"/>
    </xf>
    <xf numFmtId="0" fontId="2" fillId="0" borderId="19" xfId="67" applyBorder="1" applyAlignment="1" applyProtection="1">
      <alignment horizontal="left" wrapText="1"/>
      <protection locked="0"/>
    </xf>
    <xf numFmtId="0" fontId="87" fillId="27" borderId="19" xfId="67" applyFont="1" applyFill="1" applyBorder="1" applyAlignment="1" applyProtection="1">
      <alignment horizontal="center" vertical="center" wrapText="1"/>
      <protection hidden="1"/>
    </xf>
    <xf numFmtId="0" fontId="88" fillId="27" borderId="20" xfId="67" applyFont="1" applyFill="1" applyBorder="1" applyProtection="1">
      <protection hidden="1"/>
    </xf>
    <xf numFmtId="0" fontId="58" fillId="9" borderId="11" xfId="67" applyFont="1" applyFill="1" applyBorder="1" applyAlignment="1" applyProtection="1">
      <alignment horizontal="center" vertical="center" wrapText="1"/>
      <protection hidden="1"/>
    </xf>
    <xf numFmtId="0" fontId="58" fillId="9" borderId="12" xfId="67" applyFont="1" applyFill="1" applyBorder="1" applyAlignment="1" applyProtection="1">
      <alignment horizontal="center" vertical="center" wrapText="1"/>
      <protection hidden="1"/>
    </xf>
    <xf numFmtId="0" fontId="2" fillId="0" borderId="2" xfId="67" applyBorder="1" applyAlignment="1" applyProtection="1">
      <alignment horizontal="center" vertical="center" wrapText="1"/>
      <protection hidden="1"/>
    </xf>
    <xf numFmtId="0" fontId="2" fillId="9" borderId="2" xfId="67" applyFill="1" applyBorder="1" applyAlignment="1" applyProtection="1">
      <alignment horizontal="center" vertical="center" wrapText="1"/>
      <protection hidden="1"/>
    </xf>
    <xf numFmtId="0" fontId="2" fillId="9" borderId="12" xfId="67" applyFill="1" applyBorder="1" applyAlignment="1" applyProtection="1">
      <alignment horizontal="center" vertical="center" wrapText="1"/>
      <protection hidden="1"/>
    </xf>
    <xf numFmtId="0" fontId="82" fillId="17" borderId="23" xfId="67" applyFont="1" applyFill="1" applyBorder="1" applyAlignment="1">
      <alignment vertical="center" wrapText="1"/>
    </xf>
    <xf numFmtId="0" fontId="86" fillId="9" borderId="19" xfId="67" applyFont="1" applyFill="1" applyBorder="1" applyAlignment="1" applyProtection="1">
      <alignment horizontal="left" vertical="center" wrapText="1"/>
      <protection hidden="1"/>
    </xf>
    <xf numFmtId="0" fontId="2" fillId="0" borderId="19" xfId="67" applyBorder="1" applyAlignment="1" applyProtection="1">
      <alignment horizontal="left" wrapText="1"/>
      <protection hidden="1"/>
    </xf>
    <xf numFmtId="0" fontId="91" fillId="9" borderId="6" xfId="67" applyFont="1" applyFill="1" applyBorder="1" applyAlignment="1" applyProtection="1">
      <alignment horizontal="left" vertical="center" wrapText="1"/>
      <protection hidden="1"/>
    </xf>
    <xf numFmtId="0" fontId="69" fillId="0" borderId="19" xfId="67" applyFont="1" applyBorder="1" applyAlignment="1" applyProtection="1">
      <alignment horizontal="left" wrapText="1"/>
      <protection hidden="1"/>
    </xf>
    <xf numFmtId="0" fontId="69" fillId="0" borderId="20" xfId="67" applyFont="1" applyBorder="1" applyAlignment="1" applyProtection="1">
      <alignment horizontal="left" wrapText="1"/>
      <protection hidden="1"/>
    </xf>
    <xf numFmtId="0" fontId="58" fillId="9" borderId="2" xfId="67" applyFont="1" applyFill="1" applyBorder="1" applyAlignment="1" applyProtection="1">
      <alignment horizontal="center" vertical="center" wrapText="1"/>
      <protection hidden="1"/>
    </xf>
    <xf numFmtId="0" fontId="84" fillId="15" borderId="0" xfId="67" applyFont="1" applyFill="1" applyAlignment="1" applyProtection="1">
      <alignment horizontal="left" vertical="center" wrapText="1"/>
      <protection hidden="1"/>
    </xf>
    <xf numFmtId="0" fontId="85" fillId="15" borderId="0" xfId="67" applyFont="1" applyFill="1" applyAlignment="1" applyProtection="1">
      <alignment horizontal="left" wrapText="1"/>
      <protection hidden="1"/>
    </xf>
    <xf numFmtId="0" fontId="70" fillId="17" borderId="0" xfId="67" applyFont="1" applyFill="1" applyAlignment="1" applyProtection="1">
      <alignment vertical="center" wrapText="1"/>
      <protection hidden="1"/>
    </xf>
    <xf numFmtId="0" fontId="71" fillId="17" borderId="0" xfId="67" applyFont="1" applyFill="1" applyAlignment="1" applyProtection="1">
      <alignment wrapText="1"/>
      <protection hidden="1"/>
    </xf>
    <xf numFmtId="0" fontId="9" fillId="0" borderId="4" xfId="0" applyFont="1" applyBorder="1" applyAlignment="1" applyProtection="1">
      <alignment wrapText="1"/>
      <protection locked="0"/>
    </xf>
    <xf numFmtId="0" fontId="0" fillId="0" borderId="4" xfId="0" applyBorder="1" applyAlignment="1" applyProtection="1">
      <alignment wrapText="1"/>
      <protection locked="0"/>
    </xf>
    <xf numFmtId="0" fontId="16" fillId="4" borderId="0" xfId="0" applyFont="1" applyFill="1" applyAlignment="1" applyProtection="1">
      <alignment vertical="center" wrapText="1"/>
      <protection hidden="1"/>
    </xf>
    <xf numFmtId="0" fontId="58" fillId="0" borderId="45" xfId="3" applyFont="1" applyBorder="1" applyAlignment="1" applyProtection="1">
      <alignment horizontal="center" vertical="center" wrapText="1"/>
      <protection locked="0"/>
    </xf>
    <xf numFmtId="0" fontId="58" fillId="0" borderId="34" xfId="3" applyFont="1" applyBorder="1" applyAlignment="1" applyProtection="1">
      <alignment horizontal="center" vertical="center" wrapText="1"/>
      <protection locked="0"/>
    </xf>
    <xf numFmtId="0" fontId="62" fillId="0" borderId="45" xfId="3" applyFont="1" applyBorder="1" applyAlignment="1" applyProtection="1">
      <alignment horizontal="center" vertical="center" wrapText="1"/>
      <protection locked="0"/>
    </xf>
    <xf numFmtId="0" fontId="62" fillId="0" borderId="34" xfId="3" applyFont="1" applyBorder="1" applyAlignment="1" applyProtection="1">
      <alignment horizontal="center" vertical="center" wrapText="1"/>
      <protection locked="0"/>
    </xf>
    <xf numFmtId="0" fontId="58" fillId="0" borderId="34" xfId="3" applyFont="1" applyBorder="1" applyAlignment="1" applyProtection="1">
      <alignment vertical="center" wrapText="1"/>
      <protection locked="0"/>
    </xf>
    <xf numFmtId="0" fontId="58" fillId="0" borderId="31" xfId="3" applyFont="1" applyBorder="1" applyAlignment="1" applyProtection="1">
      <alignment vertical="center" wrapText="1"/>
      <protection locked="0"/>
    </xf>
    <xf numFmtId="0" fontId="62" fillId="0" borderId="34" xfId="3" applyFont="1" applyBorder="1" applyAlignment="1" applyProtection="1">
      <alignment vertical="center" wrapText="1"/>
      <protection locked="0"/>
    </xf>
    <xf numFmtId="0" fontId="62" fillId="0" borderId="31" xfId="3" applyFont="1" applyBorder="1" applyAlignment="1" applyProtection="1">
      <alignment vertical="center" wrapText="1"/>
      <protection locked="0"/>
    </xf>
    <xf numFmtId="0" fontId="10" fillId="5" borderId="0" xfId="3" applyFont="1" applyFill="1" applyAlignment="1">
      <alignment vertical="center" wrapText="1"/>
    </xf>
    <xf numFmtId="0" fontId="24" fillId="0" borderId="0" xfId="3" applyAlignment="1">
      <alignment wrapText="1"/>
    </xf>
    <xf numFmtId="0" fontId="10" fillId="7" borderId="43" xfId="3" applyFont="1" applyFill="1" applyBorder="1" applyAlignment="1">
      <alignment horizontal="center" vertical="center" wrapText="1"/>
    </xf>
    <xf numFmtId="0" fontId="24" fillId="7" borderId="43" xfId="3" applyFill="1" applyBorder="1" applyAlignment="1">
      <alignment horizontal="center" vertical="center" wrapText="1"/>
    </xf>
    <xf numFmtId="0" fontId="32" fillId="7" borderId="43" xfId="3" applyFont="1" applyFill="1" applyBorder="1" applyAlignment="1">
      <alignment horizontal="center" vertical="center" wrapText="1"/>
    </xf>
    <xf numFmtId="0" fontId="58" fillId="0" borderId="44" xfId="3" applyFont="1" applyFill="1" applyBorder="1" applyAlignment="1" applyProtection="1">
      <alignment horizontal="center" vertical="center" wrapText="1"/>
      <protection locked="0"/>
    </xf>
    <xf numFmtId="165" fontId="58" fillId="0" borderId="34" xfId="3" applyNumberFormat="1" applyFont="1" applyBorder="1" applyAlignment="1" applyProtection="1">
      <alignment vertical="center" wrapText="1"/>
      <protection locked="0"/>
    </xf>
    <xf numFmtId="165" fontId="58" fillId="0" borderId="31" xfId="3" applyNumberFormat="1" applyFont="1" applyBorder="1" applyAlignment="1" applyProtection="1">
      <alignment vertical="center" wrapText="1"/>
      <protection locked="0"/>
    </xf>
    <xf numFmtId="14" fontId="58" fillId="0" borderId="34" xfId="3" applyNumberFormat="1" applyFont="1" applyBorder="1" applyAlignment="1" applyProtection="1">
      <alignment vertical="center" wrapText="1"/>
      <protection locked="0"/>
    </xf>
    <xf numFmtId="0" fontId="127" fillId="15" borderId="0" xfId="0" applyFont="1" applyFill="1" applyBorder="1" applyAlignment="1" applyProtection="1">
      <alignment horizontal="center" vertical="center" wrapText="1"/>
    </xf>
    <xf numFmtId="0" fontId="11" fillId="15" borderId="0" xfId="0" applyFont="1" applyFill="1" applyBorder="1" applyAlignment="1" applyProtection="1">
      <alignment horizontal="center" vertical="center" wrapText="1"/>
    </xf>
    <xf numFmtId="0" fontId="48" fillId="0" borderId="6" xfId="0" applyFont="1" applyBorder="1" applyAlignment="1" applyProtection="1">
      <alignment horizontal="left" vertical="top" wrapText="1"/>
      <protection locked="0"/>
    </xf>
    <xf numFmtId="0" fontId="48" fillId="0" borderId="19" xfId="0" applyFont="1" applyBorder="1" applyAlignment="1" applyProtection="1">
      <alignment horizontal="left" vertical="top" wrapText="1"/>
      <protection locked="0"/>
    </xf>
    <xf numFmtId="0" fontId="48" fillId="0" borderId="20" xfId="0" applyFont="1" applyBorder="1" applyAlignment="1" applyProtection="1">
      <alignment horizontal="left" vertical="top" wrapText="1"/>
      <protection locked="0"/>
    </xf>
    <xf numFmtId="0" fontId="24" fillId="0" borderId="0" xfId="0" applyFont="1" applyAlignment="1">
      <alignment horizontal="left" vertical="top" wrapText="1"/>
    </xf>
    <xf numFmtId="0" fontId="42" fillId="5" borderId="0" xfId="0" applyFont="1" applyFill="1" applyAlignment="1">
      <alignment horizontal="left" vertical="center" wrapText="1"/>
    </xf>
    <xf numFmtId="0" fontId="42" fillId="5" borderId="15" xfId="0" applyFont="1" applyFill="1" applyBorder="1" applyAlignment="1">
      <alignment horizontal="left" vertical="center" wrapText="1"/>
    </xf>
    <xf numFmtId="0" fontId="126" fillId="15" borderId="0" xfId="0" applyFont="1" applyFill="1" applyAlignment="1">
      <alignment horizontal="center" vertical="center"/>
    </xf>
  </cellXfs>
  <cellStyles count="69">
    <cellStyle name="20% - Cor1 2" xfId="13"/>
    <cellStyle name="20% - Cor2 2" xfId="14"/>
    <cellStyle name="20% - Cor3 2" xfId="15"/>
    <cellStyle name="20% - Cor4 2" xfId="16"/>
    <cellStyle name="20% - Cor5 2" xfId="17"/>
    <cellStyle name="20% - Cor6 2" xfId="18"/>
    <cellStyle name="40% - Cor1 2" xfId="19"/>
    <cellStyle name="40% - Cor2 2" xfId="20"/>
    <cellStyle name="40% - Cor3 2" xfId="21"/>
    <cellStyle name="40% - Cor4 2" xfId="22"/>
    <cellStyle name="40% - Cor5 2" xfId="23"/>
    <cellStyle name="40% - Cor6 2" xfId="24"/>
    <cellStyle name="60% - Cor1 2" xfId="25"/>
    <cellStyle name="60% - Cor2 2" xfId="26"/>
    <cellStyle name="60% - Cor3 2" xfId="27"/>
    <cellStyle name="60% - Cor4 2" xfId="28"/>
    <cellStyle name="60% - Cor5 2" xfId="29"/>
    <cellStyle name="60% - Cor6 2" xfId="30"/>
    <cellStyle name="Cabeçalho 1 2" xfId="31"/>
    <cellStyle name="Cabeçalho 2 2" xfId="32"/>
    <cellStyle name="Cabeçalho 3 2" xfId="33"/>
    <cellStyle name="Cabeçalho 4 2" xfId="34"/>
    <cellStyle name="Cálculo 2" xfId="35"/>
    <cellStyle name="Célula Ligada 2" xfId="36"/>
    <cellStyle name="Cor1 2" xfId="37"/>
    <cellStyle name="Cor2 2" xfId="38"/>
    <cellStyle name="Cor3 2" xfId="39"/>
    <cellStyle name="Cor4 2" xfId="40"/>
    <cellStyle name="Cor5 2" xfId="41"/>
    <cellStyle name="Cor6 2" xfId="42"/>
    <cellStyle name="Correto" xfId="43"/>
    <cellStyle name="Entrada 2" xfId="44"/>
    <cellStyle name="Hiperligação" xfId="1" builtinId="8"/>
    <cellStyle name="Hiperligação 2" xfId="2"/>
    <cellStyle name="Hiperligação 2 2" xfId="58"/>
    <cellStyle name="Hiperligação 3" xfId="59"/>
    <cellStyle name="Hiperligação 4" xfId="60"/>
    <cellStyle name="Incorreto" xfId="45"/>
    <cellStyle name="Neutro 2" xfId="46"/>
    <cellStyle name="Normal" xfId="0" builtinId="0"/>
    <cellStyle name="Normal 10" xfId="56"/>
    <cellStyle name="Normal 10 2" xfId="61"/>
    <cellStyle name="Normal 10 3" xfId="68"/>
    <cellStyle name="Normal 11" xfId="57"/>
    <cellStyle name="Normal 2" xfId="3"/>
    <cellStyle name="Normal 3" xfId="4"/>
    <cellStyle name="Normal 3 2" xfId="5"/>
    <cellStyle name="Normal 3 2 2" xfId="62"/>
    <cellStyle name="Normal 3 3" xfId="63"/>
    <cellStyle name="Normal 3 4" xfId="67"/>
    <cellStyle name="Normal 4" xfId="6"/>
    <cellStyle name="Normal 4 2" xfId="7"/>
    <cellStyle name="Normal 4 2 2" xfId="64"/>
    <cellStyle name="Normal 4 3" xfId="11"/>
    <cellStyle name="Normal 4 4" xfId="55"/>
    <cellStyle name="Normal 5" xfId="8"/>
    <cellStyle name="Normal 6" xfId="9"/>
    <cellStyle name="Normal 6 2" xfId="65"/>
    <cellStyle name="Normal 7" xfId="10"/>
    <cellStyle name="Normal 8" xfId="12"/>
    <cellStyle name="Normal 9" xfId="54"/>
    <cellStyle name="Nota 2" xfId="47"/>
    <cellStyle name="Percentagem 2" xfId="66"/>
    <cellStyle name="Saída 2" xfId="48"/>
    <cellStyle name="Texto de Aviso 2" xfId="49"/>
    <cellStyle name="Texto Explicativo 2" xfId="50"/>
    <cellStyle name="Título 2" xfId="51"/>
    <cellStyle name="Total 2" xfId="52"/>
    <cellStyle name="Verificar Célula 2" xfId="53"/>
  </cellStyles>
  <dxfs count="142">
    <dxf>
      <font>
        <color rgb="FFC00000"/>
      </font>
    </dxf>
    <dxf>
      <font>
        <color rgb="FFC00000"/>
      </font>
    </dxf>
    <dxf>
      <font>
        <color rgb="FFC00000"/>
      </font>
    </dxf>
    <dxf>
      <fill>
        <patternFill>
          <bgColor rgb="FFFF0000"/>
        </patternFill>
      </fill>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rgb="FFC00000"/>
      </font>
    </dxf>
    <dxf>
      <font>
        <color rgb="FFC00000"/>
      </font>
    </dxf>
    <dxf>
      <font>
        <color rgb="FFC00000"/>
      </font>
    </dxf>
    <dxf>
      <font>
        <color rgb="FFC00000"/>
      </font>
    </dxf>
    <dxf>
      <font>
        <color theme="5" tint="0.39994506668294322"/>
      </font>
    </dxf>
    <dxf>
      <font>
        <color theme="5" tint="0.39994506668294322"/>
      </font>
    </dxf>
    <dxf>
      <font>
        <color theme="5" tint="0.39994506668294322"/>
      </font>
    </dxf>
    <dxf>
      <font>
        <color rgb="FFFF0000"/>
      </font>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ont>
        <color rgb="FFFF0000"/>
      </font>
    </dxf>
    <dxf>
      <font>
        <color rgb="FFFF0000"/>
      </font>
    </dxf>
    <dxf>
      <font>
        <color theme="5" tint="0.39994506668294322"/>
      </font>
    </dxf>
    <dxf>
      <font>
        <color theme="5" tint="0.399945066682943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99CC00"/>
      <color rgb="FF99CCFF"/>
      <color rgb="FFF9F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142875</xdr:colOff>
      <xdr:row>43</xdr:row>
      <xdr:rowOff>28575</xdr:rowOff>
    </xdr:to>
    <xdr:sp macro="" textlink="">
      <xdr:nvSpPr>
        <xdr:cNvPr id="1813" name="AutoShape 26"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4" name="AutoShape 27"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5" name="AutoShape 28"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6" name="AutoShape 29"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7" name="AutoShape 30"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142875</xdr:colOff>
      <xdr:row>23</xdr:row>
      <xdr:rowOff>123825</xdr:rowOff>
    </xdr:to>
    <xdr:sp macro="" textlink="">
      <xdr:nvSpPr>
        <xdr:cNvPr id="986883" name="AutoShape 1"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4" name="AutoShape 2"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5" name="AutoShape 3"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6" name="AutoShape 4"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23</xdr:row>
      <xdr:rowOff>123825</xdr:rowOff>
    </xdr:to>
    <xdr:sp macro="" textlink="">
      <xdr:nvSpPr>
        <xdr:cNvPr id="986887" name="AutoShape 10"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8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8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3"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4"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5"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6"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7"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89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0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3" name="AutoShape 1"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4" name="AutoShape 2"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5" name="AutoShape 3"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6" name="AutoShape 4"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142875</xdr:colOff>
      <xdr:row>32</xdr:row>
      <xdr:rowOff>123825</xdr:rowOff>
    </xdr:to>
    <xdr:sp macro="" textlink="">
      <xdr:nvSpPr>
        <xdr:cNvPr id="986907" name="AutoShape 10"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0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0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1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2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2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2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142875</xdr:colOff>
      <xdr:row>31</xdr:row>
      <xdr:rowOff>123825</xdr:rowOff>
    </xdr:to>
    <xdr:sp macro="" textlink="">
      <xdr:nvSpPr>
        <xdr:cNvPr id="98693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3"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4"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5"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6"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7"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8"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39"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0"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1"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2"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3"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4"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5"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6"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142875</xdr:colOff>
      <xdr:row>40</xdr:row>
      <xdr:rowOff>123825</xdr:rowOff>
    </xdr:to>
    <xdr:sp macro="" textlink="">
      <xdr:nvSpPr>
        <xdr:cNvPr id="986947"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4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4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5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47</xdr:row>
      <xdr:rowOff>0</xdr:rowOff>
    </xdr:from>
    <xdr:to>
      <xdr:col>1</xdr:col>
      <xdr:colOff>142875</xdr:colOff>
      <xdr:row>47</xdr:row>
      <xdr:rowOff>123825</xdr:rowOff>
    </xdr:to>
    <xdr:sp macro="" textlink="">
      <xdr:nvSpPr>
        <xdr:cNvPr id="98696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3" name="AutoShape 1"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4" name="AutoShape 2"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5" name="AutoShape 3"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6" name="AutoShape 4"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7" name="AutoShape 10"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68" name="AutoShape 1"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69" name="AutoShape 2"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0" name="AutoShape 3"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1" name="AutoShape 4"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142875</xdr:colOff>
      <xdr:row>48</xdr:row>
      <xdr:rowOff>123825</xdr:rowOff>
    </xdr:to>
    <xdr:sp macro="" textlink="">
      <xdr:nvSpPr>
        <xdr:cNvPr id="986972" name="AutoShape 10"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7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8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699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0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1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3" name="AutoShape 1"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4" name="AutoShape 2"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5" name="AutoShape 3"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6" name="AutoShape 4"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1</xdr:col>
      <xdr:colOff>142875</xdr:colOff>
      <xdr:row>59</xdr:row>
      <xdr:rowOff>123825</xdr:rowOff>
    </xdr:to>
    <xdr:sp macro="" textlink="">
      <xdr:nvSpPr>
        <xdr:cNvPr id="987027" name="AutoShape 10"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2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03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3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4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5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6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7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3" name="AutoShape 1"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4" name="AutoShape 2"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5" name="AutoShape 3"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6" name="AutoShape 4"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87" name="AutoShape 10"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8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09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09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0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1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1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712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2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2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3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7938</xdr:colOff>
      <xdr:row>90</xdr:row>
      <xdr:rowOff>127000</xdr:rowOff>
    </xdr:from>
    <xdr:to>
      <xdr:col>1</xdr:col>
      <xdr:colOff>150813</xdr:colOff>
      <xdr:row>91</xdr:row>
      <xdr:rowOff>44450</xdr:rowOff>
    </xdr:to>
    <xdr:sp macro="" textlink="">
      <xdr:nvSpPr>
        <xdr:cNvPr id="987143" name="AutoShape 1" descr="image002"/>
        <xdr:cNvSpPr>
          <a:spLocks noChangeAspect="1" noChangeArrowheads="1"/>
        </xdr:cNvSpPr>
      </xdr:nvSpPr>
      <xdr:spPr bwMode="auto">
        <a:xfrm>
          <a:off x="198438" y="200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4" name="AutoShape 2"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5" name="AutoShape 3"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6" name="AutoShape 4"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7147" name="AutoShape 10"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8" name="AutoShape 1"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49" name="AutoShape 2"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0" name="AutoShape 3"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1" name="AutoShape 4"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89</xdr:row>
      <xdr:rowOff>0</xdr:rowOff>
    </xdr:from>
    <xdr:to>
      <xdr:col>1</xdr:col>
      <xdr:colOff>142875</xdr:colOff>
      <xdr:row>89</xdr:row>
      <xdr:rowOff>123825</xdr:rowOff>
    </xdr:to>
    <xdr:sp macro="" textlink="">
      <xdr:nvSpPr>
        <xdr:cNvPr id="987152" name="AutoShape 10"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5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6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7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8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19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3" name="AutoShape 1"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4" name="AutoShape 2"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5" name="AutoShape 3"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6" name="AutoShape 4"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142875</xdr:colOff>
      <xdr:row>98</xdr:row>
      <xdr:rowOff>123825</xdr:rowOff>
    </xdr:to>
    <xdr:sp macro="" textlink="">
      <xdr:nvSpPr>
        <xdr:cNvPr id="987207" name="AutoShape 10"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0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721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3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4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5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3" name="AutoShape 1"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4" name="AutoShape 2"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5" name="AutoShape 3"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6" name="AutoShape 4"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104</xdr:row>
      <xdr:rowOff>0</xdr:rowOff>
    </xdr:from>
    <xdr:to>
      <xdr:col>1</xdr:col>
      <xdr:colOff>142875</xdr:colOff>
      <xdr:row>104</xdr:row>
      <xdr:rowOff>123825</xdr:rowOff>
    </xdr:to>
    <xdr:sp macro="" textlink="">
      <xdr:nvSpPr>
        <xdr:cNvPr id="987267" name="AutoShape 10"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6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27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7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8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29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29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30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0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0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1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3" name="AutoShape 1"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4" name="AutoShape 2"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5" name="AutoShape 3"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6" name="AutoShape 4"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0</xdr:rowOff>
    </xdr:from>
    <xdr:to>
      <xdr:col>1</xdr:col>
      <xdr:colOff>142875</xdr:colOff>
      <xdr:row>129</xdr:row>
      <xdr:rowOff>123825</xdr:rowOff>
    </xdr:to>
    <xdr:sp macro="" textlink="">
      <xdr:nvSpPr>
        <xdr:cNvPr id="987327" name="AutoShape 10"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8" name="AutoShape 1"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29" name="AutoShape 2"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0" name="AutoShape 3"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1" name="AutoShape 4"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0</xdr:rowOff>
    </xdr:from>
    <xdr:to>
      <xdr:col>1</xdr:col>
      <xdr:colOff>142875</xdr:colOff>
      <xdr:row>128</xdr:row>
      <xdr:rowOff>123825</xdr:rowOff>
    </xdr:to>
    <xdr:sp macro="" textlink="">
      <xdr:nvSpPr>
        <xdr:cNvPr id="987332" name="AutoShape 10"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3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4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5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3" name="AutoShape 1"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4" name="AutoShape 2"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5" name="AutoShape 3"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6" name="AutoShape 4"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135</xdr:row>
      <xdr:rowOff>0</xdr:rowOff>
    </xdr:from>
    <xdr:to>
      <xdr:col>1</xdr:col>
      <xdr:colOff>142875</xdr:colOff>
      <xdr:row>135</xdr:row>
      <xdr:rowOff>123825</xdr:rowOff>
    </xdr:to>
    <xdr:sp macro="" textlink="">
      <xdr:nvSpPr>
        <xdr:cNvPr id="987387" name="AutoShape 10"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73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39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0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3" name="AutoShape 1"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4" name="AutoShape 2"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5" name="AutoShape 3"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6" name="AutoShape 4"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141</xdr:row>
      <xdr:rowOff>0</xdr:rowOff>
    </xdr:from>
    <xdr:to>
      <xdr:col>1</xdr:col>
      <xdr:colOff>142875</xdr:colOff>
      <xdr:row>141</xdr:row>
      <xdr:rowOff>123825</xdr:rowOff>
    </xdr:to>
    <xdr:sp macro="" textlink="">
      <xdr:nvSpPr>
        <xdr:cNvPr id="987447" name="AutoShape 10"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74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7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8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4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3" name="AutoShape 1"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4" name="AutoShape 2"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5" name="AutoShape 3"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6" name="AutoShape 4"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07" name="AutoShape 10"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3" name="AutoShape 1"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4" name="AutoShape 2"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5" name="AutoShape 3"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6" name="AutoShape 4"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7517" name="AutoShape 10"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18" name="AutoShape 1"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19" name="AutoShape 2"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0" name="AutoShape 3"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1" name="AutoShape 4"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7522" name="AutoShape 10"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3" name="AutoShape 1"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4" name="AutoShape 2"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5" name="AutoShape 3"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6" name="AutoShape 4"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0</xdr:rowOff>
    </xdr:from>
    <xdr:to>
      <xdr:col>1</xdr:col>
      <xdr:colOff>142875</xdr:colOff>
      <xdr:row>60</xdr:row>
      <xdr:rowOff>123825</xdr:rowOff>
    </xdr:to>
    <xdr:sp macro="" textlink="">
      <xdr:nvSpPr>
        <xdr:cNvPr id="987527" name="AutoShape 10"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28" name="AutoShape 1"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29" name="AutoShape 2"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0" name="AutoShape 3"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1" name="AutoShape 4"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532" name="AutoShape 10"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3" name="AutoShape 1"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4" name="AutoShape 2"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5" name="AutoShape 3"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6" name="AutoShape 4"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7537" name="AutoShape 10"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38" name="AutoShape 1"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39" name="AutoShape 2"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0" name="AutoShape 3"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1" name="AutoShape 4"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42" name="AutoShape 10"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3" name="AutoShape 1"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4" name="AutoShape 2"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5" name="AutoShape 3"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6" name="AutoShape 4"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99</xdr:row>
      <xdr:rowOff>0</xdr:rowOff>
    </xdr:from>
    <xdr:to>
      <xdr:col>1</xdr:col>
      <xdr:colOff>142875</xdr:colOff>
      <xdr:row>99</xdr:row>
      <xdr:rowOff>123825</xdr:rowOff>
    </xdr:to>
    <xdr:sp macro="" textlink="">
      <xdr:nvSpPr>
        <xdr:cNvPr id="987547" name="AutoShape 10"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48" name="AutoShape 1"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49" name="AutoShape 2"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0" name="AutoShape 3"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1" name="AutoShape 4"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142875</xdr:colOff>
      <xdr:row>105</xdr:row>
      <xdr:rowOff>123825</xdr:rowOff>
    </xdr:to>
    <xdr:sp macro="" textlink="">
      <xdr:nvSpPr>
        <xdr:cNvPr id="987552" name="AutoShape 10"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3" name="AutoShape 1"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4" name="AutoShape 2"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5" name="AutoShape 3"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6" name="AutoShape 4"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987557" name="AutoShape 10"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58" name="AutoShape 1"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59" name="AutoShape 2"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0" name="AutoShape 3"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1" name="AutoShape 4"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142875</xdr:colOff>
      <xdr:row>142</xdr:row>
      <xdr:rowOff>123825</xdr:rowOff>
    </xdr:to>
    <xdr:sp macro="" textlink="">
      <xdr:nvSpPr>
        <xdr:cNvPr id="987562" name="AutoShape 10"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3" name="AutoShape 1"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4" name="AutoShape 2"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5" name="AutoShape 3"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6" name="AutoShape 4"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136</xdr:row>
      <xdr:rowOff>0</xdr:rowOff>
    </xdr:from>
    <xdr:to>
      <xdr:col>1</xdr:col>
      <xdr:colOff>142875</xdr:colOff>
      <xdr:row>136</xdr:row>
      <xdr:rowOff>123825</xdr:rowOff>
    </xdr:to>
    <xdr:sp macro="" textlink="">
      <xdr:nvSpPr>
        <xdr:cNvPr id="987567" name="AutoShape 10"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75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3" name="AutoShape 1"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4" name="AutoShape 2"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5" name="AutoShape 3"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6" name="AutoShape 4"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153</xdr:row>
      <xdr:rowOff>0</xdr:rowOff>
    </xdr:from>
    <xdr:to>
      <xdr:col>1</xdr:col>
      <xdr:colOff>142875</xdr:colOff>
      <xdr:row>153</xdr:row>
      <xdr:rowOff>123825</xdr:rowOff>
    </xdr:to>
    <xdr:sp macro="" textlink="">
      <xdr:nvSpPr>
        <xdr:cNvPr id="987577" name="AutoShape 10"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78" name="AutoShape 1"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79" name="AutoShape 2"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0" name="AutoShape 3"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1" name="AutoShape 4"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582" name="AutoShape 10"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5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1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2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3" name="AutoShape 1"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4" name="AutoShape 2"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5" name="AutoShape 3"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6" name="AutoShape 4"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142875</xdr:colOff>
      <xdr:row>71</xdr:row>
      <xdr:rowOff>123825</xdr:rowOff>
    </xdr:to>
    <xdr:sp macro="" textlink="">
      <xdr:nvSpPr>
        <xdr:cNvPr id="987637" name="AutoShape 10"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3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64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3" name="AutoShape 1"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4" name="AutoShape 2"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5" name="AutoShape 3"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6" name="AutoShape 4"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647" name="AutoShape 10"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6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698" name="AutoShape 1"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699" name="AutoShape 2"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0" name="AutoShape 3"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1" name="AutoShape 4"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142875</xdr:colOff>
      <xdr:row>110</xdr:row>
      <xdr:rowOff>123825</xdr:rowOff>
    </xdr:to>
    <xdr:sp macro="" textlink="">
      <xdr:nvSpPr>
        <xdr:cNvPr id="987702" name="AutoShape 10"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77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08" name="AutoShape 1"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09" name="AutoShape 2"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0" name="AutoShape 3"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1" name="AutoShape 4"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712" name="AutoShape 10"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3" name="AutoShape 1"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4" name="AutoShape 2"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5" name="AutoShape 3"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6" name="AutoShape 4"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67" name="AutoShape 10"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3" name="AutoShape 1"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4" name="AutoShape 2"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5" name="AutoShape 3"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6" name="AutoShape 4"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77" name="AutoShape 10"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77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3" name="AutoShape 1"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4" name="AutoShape 2"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5" name="AutoShape 3"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6" name="AutoShape 4"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787" name="AutoShape 10"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88" name="AutoShape 1"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89" name="AutoShape 2"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0" name="AutoShape 3"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1" name="AutoShape 4"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792" name="AutoShape 10"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79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0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123825</xdr:rowOff>
    </xdr:to>
    <xdr:sp macro="" textlink="">
      <xdr:nvSpPr>
        <xdr:cNvPr id="98781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1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2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3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4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5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6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7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142875</xdr:colOff>
      <xdr:row>64</xdr:row>
      <xdr:rowOff>123825</xdr:rowOff>
    </xdr:to>
    <xdr:sp macro="" textlink="">
      <xdr:nvSpPr>
        <xdr:cNvPr id="98788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8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1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2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3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4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5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6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7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79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xdr:row>
      <xdr:rowOff>0</xdr:rowOff>
    </xdr:from>
    <xdr:to>
      <xdr:col>1</xdr:col>
      <xdr:colOff>142875</xdr:colOff>
      <xdr:row>70</xdr:row>
      <xdr:rowOff>123825</xdr:rowOff>
    </xdr:to>
    <xdr:sp macro="" textlink="">
      <xdr:nvSpPr>
        <xdr:cNvPr id="9880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1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1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2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803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3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4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5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6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7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8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09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0</xdr:rowOff>
    </xdr:from>
    <xdr:to>
      <xdr:col>1</xdr:col>
      <xdr:colOff>142875</xdr:colOff>
      <xdr:row>97</xdr:row>
      <xdr:rowOff>123825</xdr:rowOff>
    </xdr:to>
    <xdr:sp macro="" textlink="">
      <xdr:nvSpPr>
        <xdr:cNvPr id="98810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0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0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3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4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5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6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7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8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19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0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2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3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3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29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0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1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2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3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39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0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1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142875</xdr:colOff>
      <xdr:row>109</xdr:row>
      <xdr:rowOff>123825</xdr:rowOff>
    </xdr:to>
    <xdr:sp macro="" textlink="">
      <xdr:nvSpPr>
        <xdr:cNvPr id="98842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3" name="AutoShape 1"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4" name="AutoShape 2"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5" name="AutoShape 3"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6" name="AutoShape 4"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142875</xdr:colOff>
      <xdr:row>90</xdr:row>
      <xdr:rowOff>123825</xdr:rowOff>
    </xdr:to>
    <xdr:sp macro="" textlink="">
      <xdr:nvSpPr>
        <xdr:cNvPr id="988427" name="AutoShape 10"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28" name="AutoShape 1"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29" name="AutoShape 2"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0" name="AutoShape 3"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1" name="AutoShape 4"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91</xdr:row>
      <xdr:rowOff>0</xdr:rowOff>
    </xdr:from>
    <xdr:to>
      <xdr:col>1</xdr:col>
      <xdr:colOff>142875</xdr:colOff>
      <xdr:row>91</xdr:row>
      <xdr:rowOff>123825</xdr:rowOff>
    </xdr:to>
    <xdr:sp macro="" textlink="">
      <xdr:nvSpPr>
        <xdr:cNvPr id="988432" name="AutoShape 10"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3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4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5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846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49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0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1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2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3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4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5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142875</xdr:colOff>
      <xdr:row>134</xdr:row>
      <xdr:rowOff>123825</xdr:rowOff>
    </xdr:to>
    <xdr:sp macro="" textlink="">
      <xdr:nvSpPr>
        <xdr:cNvPr id="9885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5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1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2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3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4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7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8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6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1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2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3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4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152</xdr:row>
      <xdr:rowOff>0</xdr:rowOff>
    </xdr:from>
    <xdr:to>
      <xdr:col>1</xdr:col>
      <xdr:colOff>142875</xdr:colOff>
      <xdr:row>152</xdr:row>
      <xdr:rowOff>123825</xdr:rowOff>
    </xdr:to>
    <xdr:sp macro="" textlink="">
      <xdr:nvSpPr>
        <xdr:cNvPr id="9887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7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8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89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1</xdr:col>
      <xdr:colOff>142875</xdr:colOff>
      <xdr:row>146</xdr:row>
      <xdr:rowOff>123825</xdr:rowOff>
    </xdr:to>
    <xdr:sp macro="" textlink="">
      <xdr:nvSpPr>
        <xdr:cNvPr id="9890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5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6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7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8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09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0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5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6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7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8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19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0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1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2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3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24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6"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7"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8"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49"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0"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1"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2"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3"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4"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5"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6"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7"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8"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59"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0</xdr:rowOff>
    </xdr:from>
    <xdr:to>
      <xdr:col>1</xdr:col>
      <xdr:colOff>142875</xdr:colOff>
      <xdr:row>81</xdr:row>
      <xdr:rowOff>123825</xdr:rowOff>
    </xdr:to>
    <xdr:sp macro="" textlink="">
      <xdr:nvSpPr>
        <xdr:cNvPr id="989260"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1"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2"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3"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4"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5"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6"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7"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8"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69"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4"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5"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6"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7"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8"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79"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4"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5"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6"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7"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8"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89"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29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29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0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1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2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3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4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5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6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7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180975</xdr:rowOff>
    </xdr:to>
    <xdr:sp macro="" textlink="">
      <xdr:nvSpPr>
        <xdr:cNvPr id="98938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4"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5"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6"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7"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8"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89"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0"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1"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2"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3"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4"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9395"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39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142875</xdr:colOff>
      <xdr:row>140</xdr:row>
      <xdr:rowOff>123825</xdr:rowOff>
    </xdr:to>
    <xdr:sp macro="" textlink="">
      <xdr:nvSpPr>
        <xdr:cNvPr id="98940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81</xdr:row>
      <xdr:rowOff>0</xdr:rowOff>
    </xdr:from>
    <xdr:ext cx="142875" cy="123825"/>
    <xdr:sp macro="" textlink="">
      <xdr:nvSpPr>
        <xdr:cNvPr id="252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2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2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3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4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54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4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55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5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6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7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163</xdr:row>
      <xdr:rowOff>0</xdr:rowOff>
    </xdr:from>
    <xdr:ext cx="142875" cy="123825"/>
    <xdr:sp macro="" textlink="">
      <xdr:nvSpPr>
        <xdr:cNvPr id="257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7" name="AutoShape 1"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8" name="AutoShape 2"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09" name="AutoShape 3"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10" name="AutoShape 4"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142875" cy="123825"/>
    <xdr:sp macro="" textlink="">
      <xdr:nvSpPr>
        <xdr:cNvPr id="2611" name="AutoShape 10"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7"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8"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19"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0"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1"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7" name="AutoShape 1"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8" name="AutoShape 2"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29" name="AutoShape 3"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0" name="AutoShape 4"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1" name="AutoShape 10"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7" name="AutoShape 1"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8" name="AutoShape 2"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39" name="AutoShape 3"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40" name="AutoShape 4"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xdr:row>
      <xdr:rowOff>0</xdr:rowOff>
    </xdr:from>
    <xdr:ext cx="142875" cy="123825"/>
    <xdr:sp macro="" textlink="">
      <xdr:nvSpPr>
        <xdr:cNvPr id="2641" name="AutoShape 10"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7" name="AutoShape 1"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8" name="AutoShape 2"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49" name="AutoShape 3"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50" name="AutoShape 4"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xdr:row>
      <xdr:rowOff>0</xdr:rowOff>
    </xdr:from>
    <xdr:ext cx="142875" cy="123825"/>
    <xdr:sp macro="" textlink="">
      <xdr:nvSpPr>
        <xdr:cNvPr id="2651" name="AutoShape 10"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46" name="AutoShape 10"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2" name="AutoShape 1"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3" name="AutoShape 2"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4" name="AutoShape 3"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655" name="AutoShape 4"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6"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7"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8"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79"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0"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1"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2"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3"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4"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5"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6"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7"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8"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689"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19"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0"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1"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2"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3"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4"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5"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6"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7"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8"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29"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0"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1"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2"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3"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4"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5"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6"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7"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8"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39"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0"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1"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2"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3"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4"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5"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6"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81</xdr:row>
      <xdr:rowOff>0</xdr:rowOff>
    </xdr:from>
    <xdr:ext cx="142875" cy="123825"/>
    <xdr:sp macro="" textlink="">
      <xdr:nvSpPr>
        <xdr:cNvPr id="2747"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7"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8"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79"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0"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1"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2"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3"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4"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5"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6"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7"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8"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89"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0"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1"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2"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3"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4"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5"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6"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7"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8"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799"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0"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1"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2"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3"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4"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120</xdr:row>
      <xdr:rowOff>0</xdr:rowOff>
    </xdr:from>
    <xdr:ext cx="142875" cy="123825"/>
    <xdr:sp macro="" textlink="">
      <xdr:nvSpPr>
        <xdr:cNvPr id="2805"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7"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8"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699"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0"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1"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2"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3"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4"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5"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6"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7"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8"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09"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10"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711"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2" name="AutoShape 4"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3" name="AutoShape 10"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4" name="AutoShape 1"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5" name="AutoShape 2"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6" name="AutoShape 3"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717" name="AutoShape 4"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18"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48"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49"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0"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1"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2"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3"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4"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5"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6"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7"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8"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59"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60"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761"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2" name="AutoShape 4"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3" name="AutoShape 10"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4" name="AutoShape 1"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5" name="AutoShape 2"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6" name="AutoShape 3"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2767" name="AutoShape 4"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68"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69"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0"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1"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2"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3"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4"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5"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776"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6"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7"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8"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09"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10"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162</xdr:row>
      <xdr:rowOff>0</xdr:rowOff>
    </xdr:from>
    <xdr:ext cx="142875" cy="123825"/>
    <xdr:sp macro="" textlink="">
      <xdr:nvSpPr>
        <xdr:cNvPr id="2811"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2" name="AutoShape 4"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3" name="AutoShape 10"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4" name="AutoShape 1"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5" name="AutoShape 2"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6" name="AutoShape 3"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2817" name="AutoShape 4"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3" name="AutoShape 1"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4" name="AutoShape 2"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5" name="AutoShape 3"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6" name="AutoShape 4"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7" name="AutoShape 10"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5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5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6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7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8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142875" cy="123825"/>
    <xdr:sp macro="" textlink="">
      <xdr:nvSpPr>
        <xdr:cNvPr id="289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3" name="AutoShape 1"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4" name="AutoShape 2"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5" name="AutoShape 3"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6" name="AutoShape 4"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0</xdr:rowOff>
    </xdr:from>
    <xdr:ext cx="142875" cy="123825"/>
    <xdr:sp macro="" textlink="">
      <xdr:nvSpPr>
        <xdr:cNvPr id="2897" name="AutoShape 10"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89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89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0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1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2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142875" cy="123825"/>
    <xdr:sp macro="" textlink="">
      <xdr:nvSpPr>
        <xdr:cNvPr id="293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3" name="AutoShape 1"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4" name="AutoShape 2"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5" name="AutoShape 3"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6" name="AutoShape 4"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142875" cy="123825"/>
    <xdr:sp macro="" textlink="">
      <xdr:nvSpPr>
        <xdr:cNvPr id="2937" name="AutoShape 10"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38"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39"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0"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1"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2"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3"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4"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5"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6"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7"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8"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49"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0"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1"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119</xdr:row>
      <xdr:rowOff>0</xdr:rowOff>
    </xdr:from>
    <xdr:ext cx="142875" cy="123825"/>
    <xdr:sp macro="" textlink="">
      <xdr:nvSpPr>
        <xdr:cNvPr id="2952"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3"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4"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5"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6"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7"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8"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59"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0"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1"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2"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3"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4"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5"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6"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80</xdr:row>
      <xdr:rowOff>0</xdr:rowOff>
    </xdr:from>
    <xdr:ext cx="142875" cy="123825"/>
    <xdr:sp macro="" textlink="">
      <xdr:nvSpPr>
        <xdr:cNvPr id="2967"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68"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69"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0"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1"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2"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3"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4"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5"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6"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7"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8"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79"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0"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1"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40</xdr:row>
      <xdr:rowOff>0</xdr:rowOff>
    </xdr:from>
    <xdr:ext cx="142875" cy="123825"/>
    <xdr:sp macro="" textlink="">
      <xdr:nvSpPr>
        <xdr:cNvPr id="2982"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299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0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1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1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1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2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3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4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05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5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6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7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0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09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0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1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2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2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3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4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15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5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5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6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7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1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19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8"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09"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0"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1"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2"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1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79</xdr:row>
      <xdr:rowOff>0</xdr:rowOff>
    </xdr:from>
    <xdr:ext cx="142875" cy="123825"/>
    <xdr:sp macro="" textlink="">
      <xdr:nvSpPr>
        <xdr:cNvPr id="322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2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2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3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3"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4"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5"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6"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7"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4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5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118</xdr:row>
      <xdr:rowOff>0</xdr:rowOff>
    </xdr:from>
    <xdr:ext cx="142875" cy="123825"/>
    <xdr:sp macro="" textlink="">
      <xdr:nvSpPr>
        <xdr:cNvPr id="326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6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8"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79"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0"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1"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2"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8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161</xdr:row>
      <xdr:rowOff>0</xdr:rowOff>
    </xdr:from>
    <xdr:ext cx="142875" cy="123825"/>
    <xdr:sp macro="" textlink="">
      <xdr:nvSpPr>
        <xdr:cNvPr id="329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142875</xdr:colOff>
      <xdr:row>14</xdr:row>
      <xdr:rowOff>123825</xdr:rowOff>
    </xdr:to>
    <xdr:sp macro="" textlink="">
      <xdr:nvSpPr>
        <xdr:cNvPr id="971301" name="AutoShape 1"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2" name="AutoShape 2"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3" name="AutoShape 3"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4" name="AutoShape 4"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05" name="AutoShape 9"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7" name="AutoShape 2" descr="image002"/>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8" name="AutoShape 3" descr="image002"/>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09" name="AutoShape 4" descr="image002"/>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0" name="AutoShape 10" descr="image002"/>
        <xdr:cNvSpPr>
          <a:spLocks noChangeAspect="1" noChangeArrowheads="1"/>
        </xdr:cNvSpPr>
      </xdr:nvSpPr>
      <xdr:spPr bwMode="auto">
        <a:xfrm>
          <a:off x="0"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1" name="AutoShape 1"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2" name="AutoShape 2"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3" name="AutoShape 3"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4" name="AutoShape 4"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123825</xdr:rowOff>
    </xdr:to>
    <xdr:sp macro="" textlink="">
      <xdr:nvSpPr>
        <xdr:cNvPr id="971315" name="AutoShape 9"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6" name="AutoShape 1" descr="image002"/>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7" name="AutoShape 2" descr="image002"/>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8" name="AutoShape 3" descr="image002"/>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19" name="AutoShape 4" descr="image002"/>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142875</xdr:colOff>
      <xdr:row>14</xdr:row>
      <xdr:rowOff>123825</xdr:rowOff>
    </xdr:to>
    <xdr:sp macro="" textlink="">
      <xdr:nvSpPr>
        <xdr:cNvPr id="971320" name="AutoShape 10" descr="image002"/>
        <xdr:cNvSpPr>
          <a:spLocks noChangeAspect="1" noChangeArrowheads="1"/>
        </xdr:cNvSpPr>
      </xdr:nvSpPr>
      <xdr:spPr bwMode="auto">
        <a:xfrm>
          <a:off x="0"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1" name="AutoShape 1"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2" name="AutoShape 2"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3" name="AutoShape 3"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4" name="AutoShape 4"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71325" name="AutoShape 9"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6" name="AutoShape 1"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7" name="AutoShape 2"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8" name="AutoShape 3"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29" name="AutoShape 4"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24</xdr:row>
      <xdr:rowOff>0</xdr:rowOff>
    </xdr:from>
    <xdr:to>
      <xdr:col>0</xdr:col>
      <xdr:colOff>142875</xdr:colOff>
      <xdr:row>24</xdr:row>
      <xdr:rowOff>123825</xdr:rowOff>
    </xdr:to>
    <xdr:sp macro="" textlink="">
      <xdr:nvSpPr>
        <xdr:cNvPr id="971330" name="AutoShape 10"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1"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2"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3"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4"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5"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6"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7"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8"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39"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0"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1"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2"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3"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4"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58</xdr:row>
      <xdr:rowOff>0</xdr:rowOff>
    </xdr:from>
    <xdr:to>
      <xdr:col>1</xdr:col>
      <xdr:colOff>142875</xdr:colOff>
      <xdr:row>58</xdr:row>
      <xdr:rowOff>180975</xdr:rowOff>
    </xdr:to>
    <xdr:sp macro="" textlink="">
      <xdr:nvSpPr>
        <xdr:cNvPr id="971345"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6" name="AutoShape 1"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7" name="AutoShape 2"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8" name="AutoShape 3"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49" name="AutoShape 4"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0" name="AutoShape 10"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1" name="AutoShape 1"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2" name="AutoShape 2"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3" name="AutoShape 3"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4" name="AutoShape 4"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5" name="AutoShape 10"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6" name="AutoShape 1"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7" name="AutoShape 2"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8" name="AutoShape 3"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59" name="AutoShape 4"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34</xdr:row>
      <xdr:rowOff>180976</xdr:rowOff>
    </xdr:to>
    <xdr:sp macro="" textlink="">
      <xdr:nvSpPr>
        <xdr:cNvPr id="971360" name="AutoShape 10" descr="image002"/>
        <xdr:cNvSpPr>
          <a:spLocks noChangeAspect="1" noChangeArrowheads="1"/>
        </xdr:cNvSpPr>
      </xdr:nvSpPr>
      <xdr:spPr bwMode="auto">
        <a:xfrm>
          <a:off x="409575" y="140684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1"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2"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3"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4"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5"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6"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7"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8"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69"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0"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1"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2"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3"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4"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71375"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7"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8"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79"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0"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1" name="AutoShape 1"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2"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3"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4"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5"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6" name="AutoShape 1"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7"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8"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89"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190500</xdr:rowOff>
    </xdr:to>
    <xdr:sp macro="" textlink="">
      <xdr:nvSpPr>
        <xdr:cNvPr id="971390"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10</xdr:row>
      <xdr:rowOff>0</xdr:rowOff>
    </xdr:from>
    <xdr:ext cx="142875" cy="180976"/>
    <xdr:sp macro="" textlink="">
      <xdr:nvSpPr>
        <xdr:cNvPr id="90"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1"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2"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3"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4"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5"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6"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7"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8"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99"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0"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1"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2"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3"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xdr:row>
      <xdr:rowOff>0</xdr:rowOff>
    </xdr:from>
    <xdr:ext cx="142875" cy="180976"/>
    <xdr:sp macro="" textlink="">
      <xdr:nvSpPr>
        <xdr:cNvPr id="104"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142875</xdr:colOff>
      <xdr:row>13</xdr:row>
      <xdr:rowOff>123825</xdr:rowOff>
    </xdr:to>
    <xdr:sp macro="" textlink="">
      <xdr:nvSpPr>
        <xdr:cNvPr id="899069" name="AutoShape 1"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899070" name="AutoShape 2"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899071" name="AutoShape 3"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08" name="AutoShape 4"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09" name="AutoShape 9"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0" name="AutoShape 1"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1" name="AutoShape 2"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2" name="AutoShape 3"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3" name="AutoShape 4"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4" name="AutoShape 9"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5" name="AutoShape 1"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6" name="AutoShape 2"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7" name="AutoShape 3"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8" name="AutoShape 4"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142875</xdr:colOff>
      <xdr:row>17</xdr:row>
      <xdr:rowOff>123825</xdr:rowOff>
    </xdr:to>
    <xdr:sp macro="" textlink="">
      <xdr:nvSpPr>
        <xdr:cNvPr id="990219" name="AutoShape 9"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0"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1"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2"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3"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4"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5"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6"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7"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8"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29"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0"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1"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2"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3"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142875</xdr:colOff>
      <xdr:row>14</xdr:row>
      <xdr:rowOff>180975</xdr:rowOff>
    </xdr:to>
    <xdr:sp macro="" textlink="">
      <xdr:nvSpPr>
        <xdr:cNvPr id="990234"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5" name="AutoShape 1"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6" name="AutoShape 2"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7" name="AutoShape 3"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8" name="AutoShape 4"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142875</xdr:colOff>
      <xdr:row>13</xdr:row>
      <xdr:rowOff>123825</xdr:rowOff>
    </xdr:to>
    <xdr:sp macro="" textlink="">
      <xdr:nvSpPr>
        <xdr:cNvPr id="990239" name="AutoShape 9"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142875</xdr:colOff>
      <xdr:row>1</xdr:row>
      <xdr:rowOff>123825</xdr:rowOff>
    </xdr:to>
    <xdr:sp macro="" textlink="">
      <xdr:nvSpPr>
        <xdr:cNvPr id="2" name="AutoShape 1"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3" name="AutoShape 2"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4" name="AutoShape 3"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5" name="AutoShape 4"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6" name="AutoShape 9"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8" name="AutoShape 3"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9" name="AutoShape 4"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0" name="AutoShape 10"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1" name="AutoShape 1"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2" name="AutoShape 2"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3" name="AutoShape 3"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4" name="AutoShape 4"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5" name="AutoShape 9"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6" name="AutoShape 1"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7" name="AutoShape 2"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8" name="AutoShape 3"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9" name="AutoShape 4"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0" name="AutoShape 10"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1" name="AutoShape 1"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2" name="AutoShape 2"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3" name="AutoShape 3"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4" name="AutoShape 4"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5" name="AutoShape 9"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6" name="AutoShape 1"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7" name="AutoShape 2"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8" name="AutoShape 3"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9" name="AutoShape 4"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30" name="AutoShape 10"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1"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2"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3"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4"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5"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6"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7"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8"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9"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0"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1"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2"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3"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4"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5"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6"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7"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8"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9"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0"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1"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2"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3"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4"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5"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6"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7"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8"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9"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60"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1"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2"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3"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4"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5"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6"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7"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8"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9"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0"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1"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2"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3"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4"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5"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6"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7"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8"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9"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0" name="AutoShape 1"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1"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2"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3"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4"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5" name="AutoShape 1"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6"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7"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8"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9"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o/Desktop/reuni&#227;o_12_06_2013/plano%20de%20melhoria/relatorioTEIP%202011_2012_draft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andre/Ambiente%20de%20trabalho/Relat&#243;rio%2011_12/pedido%20de%20relat&#243;rio/relatorioTEIP%20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70C0"/>
        </a:solidFill>
        <a:ln w="9525">
          <a:no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2:I45"/>
  <sheetViews>
    <sheetView showGridLines="0" topLeftCell="A26" workbookViewId="0">
      <selection activeCell="L32" sqref="L32"/>
    </sheetView>
  </sheetViews>
  <sheetFormatPr defaultRowHeight="16.5" customHeight="1" x14ac:dyDescent="0.2"/>
  <cols>
    <col min="1" max="1" width="3.85546875" style="22" customWidth="1"/>
    <col min="2" max="2" width="14.7109375" style="4" customWidth="1"/>
    <col min="3" max="3" width="14.5703125" style="4" customWidth="1"/>
    <col min="4" max="4" width="15.42578125" style="4" customWidth="1"/>
    <col min="5" max="7" width="14.7109375" style="4" customWidth="1"/>
    <col min="8" max="8" width="4.7109375" style="4" customWidth="1"/>
    <col min="9" max="16384" width="9.140625" style="4"/>
  </cols>
  <sheetData>
    <row r="2" spans="1:9" ht="26.25" customHeight="1" x14ac:dyDescent="0.2">
      <c r="A2" s="403" t="s">
        <v>311</v>
      </c>
      <c r="B2" s="404"/>
      <c r="C2" s="404"/>
      <c r="D2" s="404"/>
      <c r="E2" s="404"/>
      <c r="F2" s="404"/>
      <c r="G2" s="404"/>
      <c r="H2" s="404"/>
    </row>
    <row r="4" spans="1:9" ht="15" customHeight="1" x14ac:dyDescent="0.2">
      <c r="B4" s="2" t="s">
        <v>11</v>
      </c>
      <c r="G4" s="25" t="s">
        <v>123</v>
      </c>
    </row>
    <row r="5" spans="1:9" ht="14.25" hidden="1" customHeight="1" x14ac:dyDescent="0.2">
      <c r="B5" s="10">
        <v>40</v>
      </c>
      <c r="C5" s="10"/>
      <c r="D5" s="10"/>
      <c r="E5" s="10"/>
      <c r="F5" s="11">
        <v>303089</v>
      </c>
      <c r="G5" s="64">
        <v>303089</v>
      </c>
    </row>
    <row r="6" spans="1:9" s="70" customFormat="1" ht="16.5" customHeight="1" x14ac:dyDescent="0.2">
      <c r="A6" s="66"/>
      <c r="B6" s="67" t="s">
        <v>119</v>
      </c>
      <c r="C6" s="67"/>
      <c r="D6" s="67"/>
      <c r="E6" s="67"/>
      <c r="F6" s="68"/>
      <c r="G6" s="65">
        <v>303089</v>
      </c>
      <c r="H6" s="69"/>
      <c r="I6" s="69"/>
    </row>
    <row r="7" spans="1:9" s="70" customFormat="1" ht="16.5" customHeight="1" x14ac:dyDescent="0.2">
      <c r="A7" s="66"/>
      <c r="B7" s="71"/>
      <c r="C7" s="71"/>
      <c r="D7" s="71"/>
      <c r="E7" s="71"/>
      <c r="F7" s="72"/>
      <c r="G7" s="64"/>
      <c r="I7" s="69"/>
    </row>
    <row r="8" spans="1:9" ht="16.5" customHeight="1" x14ac:dyDescent="0.2">
      <c r="B8" s="7"/>
      <c r="C8" s="7"/>
      <c r="D8" s="7"/>
      <c r="E8" s="7"/>
      <c r="F8" s="8"/>
      <c r="G8" s="9"/>
    </row>
    <row r="9" spans="1:9" ht="50.25" customHeight="1" x14ac:dyDescent="0.2">
      <c r="B9" s="405" t="s">
        <v>309</v>
      </c>
      <c r="C9" s="406"/>
      <c r="D9" s="406"/>
      <c r="E9" s="406"/>
      <c r="F9" s="406"/>
      <c r="G9" s="407"/>
      <c r="I9" s="49"/>
    </row>
    <row r="10" spans="1:9" s="57" customFormat="1" ht="4.5" customHeight="1" x14ac:dyDescent="0.2">
      <c r="A10" s="22"/>
      <c r="B10" s="408"/>
      <c r="C10" s="408"/>
      <c r="D10" s="408"/>
      <c r="E10" s="408"/>
      <c r="F10" s="408"/>
      <c r="G10" s="408"/>
    </row>
    <row r="11" spans="1:9" s="39" customFormat="1" ht="41.25" customHeight="1" x14ac:dyDescent="0.2">
      <c r="A11" s="411" t="s">
        <v>310</v>
      </c>
      <c r="B11" s="412"/>
      <c r="C11" s="412"/>
      <c r="D11" s="412"/>
      <c r="E11" s="412"/>
      <c r="F11" s="412"/>
      <c r="G11" s="412"/>
      <c r="H11" s="413"/>
      <c r="I11" s="89"/>
    </row>
    <row r="12" spans="1:9" s="39" customFormat="1" ht="8.25" hidden="1" customHeight="1" x14ac:dyDescent="0.2">
      <c r="A12" s="99"/>
      <c r="B12" s="97"/>
      <c r="C12" s="97"/>
      <c r="D12" s="97"/>
      <c r="E12" s="97"/>
      <c r="F12" s="97"/>
      <c r="G12" s="97"/>
      <c r="H12" s="98"/>
      <c r="I12" s="89"/>
    </row>
    <row r="13" spans="1:9" s="57" customFormat="1" ht="16.5" hidden="1" customHeight="1" x14ac:dyDescent="0.2">
      <c r="A13" s="22"/>
      <c r="B13" s="414" t="s">
        <v>165</v>
      </c>
      <c r="C13" s="414"/>
      <c r="D13" s="414"/>
      <c r="E13" s="414"/>
      <c r="F13" s="414"/>
      <c r="G13" s="414"/>
    </row>
    <row r="14" spans="1:9" s="93" customFormat="1" ht="10.5" hidden="1" customHeight="1" x14ac:dyDescent="0.2">
      <c r="A14" s="91"/>
      <c r="B14" s="92"/>
      <c r="C14" s="92"/>
      <c r="D14" s="92"/>
      <c r="E14" s="92"/>
      <c r="F14" s="92"/>
      <c r="G14" s="92"/>
    </row>
    <row r="15" spans="1:9" s="94" customFormat="1" ht="27" hidden="1" customHeight="1" x14ac:dyDescent="0.2">
      <c r="B15" s="409" t="s">
        <v>156</v>
      </c>
      <c r="C15" s="409"/>
      <c r="D15" s="409"/>
      <c r="E15" s="409"/>
      <c r="F15" s="409"/>
      <c r="G15" s="409"/>
    </row>
    <row r="16" spans="1:9" s="57" customFormat="1" ht="18" hidden="1" customHeight="1" x14ac:dyDescent="0.2">
      <c r="A16" s="22"/>
      <c r="B16" s="95"/>
      <c r="C16" s="95"/>
      <c r="D16" s="95"/>
      <c r="E16" s="95"/>
      <c r="F16" s="95"/>
      <c r="G16" s="95"/>
    </row>
    <row r="17" spans="1:9" s="57" customFormat="1" ht="16.5" hidden="1" customHeight="1" x14ac:dyDescent="0.2">
      <c r="A17" s="22"/>
      <c r="B17" s="414" t="s">
        <v>166</v>
      </c>
      <c r="C17" s="414"/>
      <c r="D17" s="414"/>
      <c r="E17" s="414"/>
      <c r="F17" s="414"/>
      <c r="G17" s="414"/>
    </row>
    <row r="18" spans="1:9" s="93" customFormat="1" ht="16.5" hidden="1" customHeight="1" x14ac:dyDescent="0.2">
      <c r="A18" s="91"/>
      <c r="B18" s="92"/>
      <c r="C18" s="92"/>
      <c r="D18" s="92"/>
      <c r="E18" s="92"/>
      <c r="F18" s="92"/>
      <c r="G18" s="92"/>
    </row>
    <row r="19" spans="1:9" s="96" customFormat="1" ht="16.5" hidden="1" customHeight="1" x14ac:dyDescent="0.2">
      <c r="B19" s="399" t="s">
        <v>157</v>
      </c>
      <c r="C19" s="399"/>
      <c r="D19" s="399"/>
      <c r="E19" s="399"/>
      <c r="F19" s="399"/>
      <c r="G19" s="399"/>
    </row>
    <row r="20" spans="1:9" s="57" customFormat="1" ht="16.5" hidden="1" customHeight="1" x14ac:dyDescent="0.2">
      <c r="A20" s="22"/>
      <c r="B20" s="400" t="s">
        <v>152</v>
      </c>
      <c r="C20" s="400"/>
      <c r="D20" s="400"/>
      <c r="E20" s="400"/>
      <c r="F20" s="400"/>
      <c r="G20" s="400"/>
    </row>
    <row r="21" spans="1:9" s="57" customFormat="1" ht="25.5" hidden="1" customHeight="1" x14ac:dyDescent="0.2">
      <c r="A21" s="22"/>
      <c r="B21" s="410" t="s">
        <v>151</v>
      </c>
      <c r="C21" s="410"/>
      <c r="D21" s="410"/>
      <c r="E21" s="410"/>
      <c r="F21" s="410"/>
      <c r="G21" s="410"/>
    </row>
    <row r="22" spans="1:9" s="93" customFormat="1" ht="16.5" hidden="1" customHeight="1" x14ac:dyDescent="0.2">
      <c r="A22" s="91"/>
      <c r="B22" s="92"/>
      <c r="C22" s="92"/>
      <c r="D22" s="92"/>
      <c r="E22" s="92"/>
      <c r="F22" s="92"/>
      <c r="G22" s="92"/>
    </row>
    <row r="23" spans="1:9" s="96" customFormat="1" ht="16.5" hidden="1" customHeight="1" x14ac:dyDescent="0.2">
      <c r="B23" s="399" t="s">
        <v>158</v>
      </c>
      <c r="C23" s="399"/>
      <c r="D23" s="399"/>
      <c r="E23" s="399"/>
      <c r="F23" s="399"/>
      <c r="G23" s="399"/>
    </row>
    <row r="24" spans="1:9" s="57" customFormat="1" ht="24" hidden="1" customHeight="1" x14ac:dyDescent="0.2">
      <c r="A24" s="22"/>
      <c r="B24" s="400" t="s">
        <v>153</v>
      </c>
      <c r="C24" s="400"/>
      <c r="D24" s="400"/>
      <c r="E24" s="400"/>
      <c r="F24" s="400"/>
      <c r="G24" s="400"/>
    </row>
    <row r="25" spans="1:9" ht="16.5" hidden="1" customHeight="1" x14ac:dyDescent="0.2">
      <c r="B25" s="73"/>
      <c r="C25" s="73"/>
      <c r="D25" s="73"/>
      <c r="E25" s="73"/>
      <c r="F25" s="73"/>
      <c r="G25" s="73"/>
    </row>
    <row r="26" spans="1:9" s="57" customFormat="1" ht="21.75" customHeight="1" thickBot="1" x14ac:dyDescent="0.25">
      <c r="B26" s="74" t="s">
        <v>122</v>
      </c>
      <c r="C26" s="79"/>
      <c r="D26" s="79"/>
      <c r="E26" s="79"/>
      <c r="F26" s="79"/>
      <c r="G26" s="79"/>
    </row>
    <row r="27" spans="1:9" ht="9" customHeight="1" thickTop="1" x14ac:dyDescent="0.2">
      <c r="B27" s="73"/>
      <c r="C27" s="73"/>
      <c r="D27" s="73"/>
      <c r="E27" s="73"/>
      <c r="F27" s="73"/>
      <c r="G27" s="73"/>
    </row>
    <row r="28" spans="1:9" s="22" customFormat="1" ht="16.5" customHeight="1" x14ac:dyDescent="0.2">
      <c r="A28" s="23"/>
      <c r="B28" s="395" t="s">
        <v>47</v>
      </c>
      <c r="C28" s="395"/>
      <c r="D28" s="395"/>
      <c r="E28" s="395"/>
      <c r="F28" s="395"/>
      <c r="G28" s="395"/>
      <c r="H28" s="395"/>
      <c r="I28" s="78"/>
    </row>
    <row r="29" spans="1:9" ht="7.5" customHeight="1" x14ac:dyDescent="0.2">
      <c r="B29" s="7"/>
      <c r="C29" s="7"/>
      <c r="D29" s="7"/>
      <c r="E29" s="7"/>
      <c r="F29" s="8"/>
      <c r="G29" s="9"/>
    </row>
    <row r="30" spans="1:9" s="57" customFormat="1" ht="16.5" customHeight="1" x14ac:dyDescent="0.2">
      <c r="B30" s="21" t="s">
        <v>20</v>
      </c>
      <c r="I30" s="51"/>
    </row>
    <row r="31" spans="1:9" s="22" customFormat="1" ht="16.5" customHeight="1" x14ac:dyDescent="0.2">
      <c r="A31" s="23" t="s">
        <v>12</v>
      </c>
      <c r="B31" s="395" t="s">
        <v>32</v>
      </c>
      <c r="C31" s="395"/>
      <c r="D31" s="395"/>
      <c r="E31" s="395"/>
      <c r="F31" s="395"/>
      <c r="G31" s="395"/>
      <c r="H31" s="395"/>
      <c r="I31" s="75"/>
    </row>
    <row r="32" spans="1:9" s="22" customFormat="1" ht="16.5" customHeight="1" x14ac:dyDescent="0.2">
      <c r="A32" s="24" t="s">
        <v>49</v>
      </c>
      <c r="B32" s="395" t="s">
        <v>202</v>
      </c>
      <c r="C32" s="395"/>
      <c r="D32" s="395"/>
      <c r="E32" s="395"/>
      <c r="F32" s="395"/>
      <c r="G32" s="395"/>
      <c r="H32" s="395"/>
    </row>
    <row r="33" spans="1:9" s="22" customFormat="1" ht="16.5" customHeight="1" x14ac:dyDescent="0.2">
      <c r="A33" s="24" t="s">
        <v>50</v>
      </c>
      <c r="B33" s="395" t="s">
        <v>304</v>
      </c>
      <c r="C33" s="395"/>
      <c r="D33" s="395"/>
      <c r="E33" s="395"/>
      <c r="F33" s="395"/>
      <c r="G33" s="395"/>
      <c r="H33" s="395"/>
    </row>
    <row r="34" spans="1:9" s="22" customFormat="1" ht="16.5" customHeight="1" x14ac:dyDescent="0.2">
      <c r="A34" s="24" t="s">
        <v>303</v>
      </c>
      <c r="B34" s="395" t="s">
        <v>58</v>
      </c>
      <c r="C34" s="395"/>
      <c r="D34" s="395"/>
      <c r="E34" s="395"/>
      <c r="F34" s="395"/>
      <c r="G34" s="395"/>
      <c r="H34" s="395"/>
    </row>
    <row r="35" spans="1:9" s="109" customFormat="1" ht="16.5" customHeight="1" x14ac:dyDescent="0.2">
      <c r="A35" s="108" t="s">
        <v>13</v>
      </c>
      <c r="B35" s="401" t="s">
        <v>179</v>
      </c>
      <c r="C35" s="401"/>
      <c r="D35" s="401"/>
      <c r="E35" s="401"/>
      <c r="F35" s="401"/>
      <c r="G35" s="401"/>
      <c r="H35" s="401"/>
    </row>
    <row r="36" spans="1:9" s="22" customFormat="1" ht="16.5" customHeight="1" x14ac:dyDescent="0.2">
      <c r="A36" s="23"/>
      <c r="B36" s="395" t="s">
        <v>305</v>
      </c>
      <c r="C36" s="395"/>
      <c r="D36" s="395"/>
      <c r="E36" s="395"/>
      <c r="F36" s="395"/>
      <c r="G36" s="395"/>
      <c r="H36" s="395"/>
    </row>
    <row r="37" spans="1:9" s="22" customFormat="1" ht="16.5" customHeight="1" x14ac:dyDescent="0.2">
      <c r="A37" s="23"/>
      <c r="B37" s="395" t="s">
        <v>337</v>
      </c>
      <c r="C37" s="395"/>
      <c r="D37" s="395"/>
      <c r="E37" s="395"/>
      <c r="F37" s="395"/>
      <c r="G37" s="395"/>
      <c r="H37" s="395"/>
    </row>
    <row r="38" spans="1:9" s="22" customFormat="1" ht="16.5" customHeight="1" x14ac:dyDescent="0.2">
      <c r="A38" s="23"/>
      <c r="B38" s="395" t="s">
        <v>306</v>
      </c>
      <c r="C38" s="395"/>
      <c r="D38" s="395"/>
      <c r="E38" s="395"/>
      <c r="F38" s="395"/>
      <c r="G38" s="395"/>
      <c r="H38" s="395"/>
    </row>
    <row r="39" spans="1:9" s="22" customFormat="1" ht="16.5" customHeight="1" x14ac:dyDescent="0.2">
      <c r="A39" s="24" t="s">
        <v>14</v>
      </c>
      <c r="B39" s="395" t="s">
        <v>33</v>
      </c>
      <c r="C39" s="395"/>
      <c r="D39" s="395"/>
      <c r="E39" s="395"/>
      <c r="F39" s="395"/>
      <c r="G39" s="395"/>
      <c r="H39" s="395"/>
    </row>
    <row r="40" spans="1:9" s="77" customFormat="1" ht="16.5" customHeight="1" x14ac:dyDescent="0.2">
      <c r="A40" s="24" t="s">
        <v>15</v>
      </c>
      <c r="B40" s="396" t="s">
        <v>200</v>
      </c>
      <c r="C40" s="396"/>
      <c r="D40" s="396"/>
      <c r="E40" s="396"/>
      <c r="F40" s="396"/>
      <c r="G40" s="396"/>
      <c r="H40" s="396"/>
      <c r="I40" s="76"/>
    </row>
    <row r="41" spans="1:9" s="77" customFormat="1" ht="33" customHeight="1" x14ac:dyDescent="0.2">
      <c r="A41" s="24"/>
      <c r="B41" s="397" t="s">
        <v>336</v>
      </c>
      <c r="C41" s="398"/>
      <c r="D41" s="398"/>
      <c r="E41" s="398"/>
      <c r="F41" s="398"/>
      <c r="G41" s="398"/>
      <c r="H41" s="398"/>
    </row>
    <row r="42" spans="1:9" s="22" customFormat="1" ht="16.5" customHeight="1" x14ac:dyDescent="0.2">
      <c r="A42" s="24" t="s">
        <v>16</v>
      </c>
      <c r="B42" s="395" t="s">
        <v>121</v>
      </c>
      <c r="C42" s="395"/>
      <c r="D42" s="395"/>
      <c r="E42" s="395"/>
      <c r="F42" s="395"/>
      <c r="G42" s="395"/>
      <c r="H42" s="395"/>
    </row>
    <row r="43" spans="1:9" s="22" customFormat="1" ht="16.5" customHeight="1" x14ac:dyDescent="0.2"/>
    <row r="44" spans="1:9" s="253" customFormat="1" ht="21" customHeight="1" x14ac:dyDescent="0.2">
      <c r="A44" s="402" t="s">
        <v>307</v>
      </c>
      <c r="B44" s="402"/>
      <c r="C44" s="402"/>
      <c r="D44" s="402"/>
      <c r="E44" s="402"/>
      <c r="F44" s="402"/>
      <c r="G44" s="402"/>
    </row>
    <row r="45" spans="1:9" s="253" customFormat="1" ht="21" customHeight="1" x14ac:dyDescent="0.2">
      <c r="A45" s="402" t="s">
        <v>308</v>
      </c>
      <c r="B45" s="402"/>
      <c r="C45" s="402"/>
      <c r="D45" s="402"/>
      <c r="E45" s="402"/>
      <c r="F45" s="402"/>
      <c r="G45" s="402"/>
    </row>
  </sheetData>
  <sheetProtection password="DC9F" sheet="1"/>
  <mergeCells count="27">
    <mergeCell ref="A44:G44"/>
    <mergeCell ref="A45:G45"/>
    <mergeCell ref="A2:H2"/>
    <mergeCell ref="B9:G9"/>
    <mergeCell ref="B10:G10"/>
    <mergeCell ref="B15:G15"/>
    <mergeCell ref="B20:G20"/>
    <mergeCell ref="B21:G21"/>
    <mergeCell ref="B31:H31"/>
    <mergeCell ref="A11:H11"/>
    <mergeCell ref="B32:H32"/>
    <mergeCell ref="B34:H34"/>
    <mergeCell ref="B28:H28"/>
    <mergeCell ref="B13:G13"/>
    <mergeCell ref="B17:G17"/>
    <mergeCell ref="B19:G19"/>
    <mergeCell ref="B23:G23"/>
    <mergeCell ref="B24:G24"/>
    <mergeCell ref="B33:H33"/>
    <mergeCell ref="B35:H35"/>
    <mergeCell ref="B38:H38"/>
    <mergeCell ref="B42:H42"/>
    <mergeCell ref="B40:H40"/>
    <mergeCell ref="B41:H41"/>
    <mergeCell ref="B36:H36"/>
    <mergeCell ref="B39:H39"/>
    <mergeCell ref="B37:H37"/>
  </mergeCells>
  <phoneticPr fontId="14" type="noConversion"/>
  <hyperlinks>
    <hyperlink ref="B31:H31" location="'1_IAA'!A1" display="Insucesso, Abandono e Absentismo"/>
    <hyperlink ref="B32:H32" location="'2_Av I'!A1" display="Avaliação Interna em Língua Portuguesa e Matemática"/>
    <hyperlink ref="B35:H35" location="'3_Av Ext'!A1" display="Avaliação externa  (considerar apenas os valores referentes à 1.ª chamada)"/>
    <hyperlink ref="B36:H36" location="'3_Av Ext'!A1" display="3.3 Exames Nacionais - 9.º ano"/>
    <hyperlink ref="B38:H38" location="'3_Av Ext'!A38" display="3.3 Exames Nacionais - 12.º ano"/>
    <hyperlink ref="B39:H39" location="'4_Indisciplina'!A1" display="Indisciplina"/>
    <hyperlink ref="B42:H42" location="'6_Observações'!A1" display="Observações"/>
    <hyperlink ref="B28:H28" location="'Atualização de dados'!A1" display="Atualização de dados"/>
    <hyperlink ref="B34:H34" location="'2_Av I'!A50" display="Avaliação Interna - N.º de alunos que obtiveram classificação positiva a todas as disciplinas / áreas disciplinares"/>
    <hyperlink ref="B41:H41" location="'5.1 - Metas Gerais'!A1" display="5.1 Grau de concretização das Metas Gerais no ano letivo 2015/16"/>
    <hyperlink ref="B33:H33" location="'2_Av I'!A27" display="Avaliação Interna a Português Língua Não Materna (PLNM)"/>
    <hyperlink ref="B37:H37" location="'3_Av Ext'!A15" display="3.2 Provas Finais - 9.º ano"/>
    <hyperlink ref="A44:G44" location="'6_Observações'!A1" display="Observações"/>
    <hyperlink ref="A45:G45" location="'6_Observações'!A1" display="Observações"/>
  </hyperlinks>
  <printOptions horizontalCentered="1"/>
  <pageMargins left="0.15748031496062992" right="0.19685039370078741" top="0.98425196850393704" bottom="0.78740157480314965" header="0.31496062992125984" footer="0.51181102362204722"/>
  <pageSetup paperSize="9" orientation="portrait" r:id="rId1"/>
  <headerFooter alignWithMargins="0">
    <oddHeader>&amp;L&amp;G&amp;R&amp;G</oddHeader>
    <oddFooter>&amp;LPrograma TEIP3 / DGE&amp;RVersão de &amp;D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O31"/>
  <sheetViews>
    <sheetView showGridLines="0" workbookViewId="0">
      <selection activeCell="P9" sqref="P9"/>
    </sheetView>
  </sheetViews>
  <sheetFormatPr defaultRowHeight="12.75" x14ac:dyDescent="0.2"/>
  <cols>
    <col min="1" max="1" width="13.7109375" customWidth="1"/>
    <col min="2" max="2" width="16.7109375" customWidth="1"/>
    <col min="3" max="7" width="6.140625" customWidth="1"/>
    <col min="8" max="8" width="10.85546875" customWidth="1"/>
    <col min="9" max="9" width="11.5703125" customWidth="1"/>
    <col min="10" max="10" width="4.42578125" customWidth="1"/>
    <col min="11" max="11" width="11.5703125" customWidth="1"/>
    <col min="12" max="12" width="6.140625" customWidth="1"/>
    <col min="13" max="13" width="16.5703125" customWidth="1"/>
    <col min="14" max="14" width="5.28515625" customWidth="1"/>
    <col min="15" max="18" width="27" customWidth="1"/>
    <col min="19" max="19" width="9.140625" customWidth="1"/>
    <col min="20" max="20" width="15.7109375" customWidth="1"/>
    <col min="21" max="26" width="9.140625" customWidth="1"/>
  </cols>
  <sheetData>
    <row r="1" spans="1:15" s="13" customFormat="1" ht="30" customHeight="1" x14ac:dyDescent="0.2">
      <c r="A1" s="110" t="str">
        <f>IF(Início!B6&lt;&gt;"",Início!B6,"")</f>
        <v>Agrupamento de Escolas Maximinos</v>
      </c>
      <c r="B1" s="29"/>
      <c r="C1" s="30"/>
      <c r="D1" s="30"/>
      <c r="E1" s="30"/>
      <c r="F1" s="30"/>
      <c r="G1" s="30"/>
      <c r="H1" s="30"/>
      <c r="I1" s="30"/>
      <c r="J1" s="30"/>
      <c r="K1" s="31"/>
      <c r="L1" s="434">
        <f>IF(Início!G5&gt;0,Início!G5,"")</f>
        <v>303089</v>
      </c>
      <c r="M1" s="527"/>
      <c r="N1" s="31"/>
      <c r="O1" s="392">
        <f>L1</f>
        <v>303089</v>
      </c>
    </row>
    <row r="3" spans="1:15" ht="23.25" customHeight="1" x14ac:dyDescent="0.2">
      <c r="A3" s="793" t="s">
        <v>250</v>
      </c>
      <c r="B3" s="793"/>
      <c r="C3" s="793"/>
      <c r="D3" s="793"/>
      <c r="E3" s="793"/>
      <c r="F3" s="793"/>
      <c r="G3" s="793"/>
      <c r="H3" s="793"/>
      <c r="I3" s="793"/>
      <c r="J3" s="793"/>
      <c r="K3" s="793"/>
      <c r="L3" s="793"/>
      <c r="M3" s="793"/>
      <c r="N3" s="793"/>
    </row>
    <row r="4" spans="1:15" ht="21" customHeight="1" x14ac:dyDescent="0.2">
      <c r="A4" s="794" t="s">
        <v>251</v>
      </c>
      <c r="B4" s="794"/>
      <c r="C4" s="794"/>
      <c r="D4" s="794"/>
      <c r="E4" s="794"/>
      <c r="F4" s="794"/>
      <c r="G4" s="794"/>
      <c r="H4" s="794"/>
      <c r="I4" s="794"/>
      <c r="J4" s="794"/>
      <c r="K4" s="794"/>
      <c r="L4" s="794"/>
      <c r="M4" s="794"/>
      <c r="N4" s="794"/>
    </row>
    <row r="6" spans="1:15" ht="24.75" customHeight="1" x14ac:dyDescent="0.2">
      <c r="A6" s="799" t="s">
        <v>252</v>
      </c>
      <c r="B6" s="799"/>
      <c r="C6" s="799"/>
      <c r="D6" s="799"/>
      <c r="E6" s="799"/>
      <c r="F6" s="799"/>
      <c r="G6" s="799"/>
      <c r="H6" s="799"/>
      <c r="I6" s="799"/>
      <c r="J6" s="800"/>
      <c r="K6" s="161" t="s">
        <v>345</v>
      </c>
    </row>
    <row r="8" spans="1:15" ht="18" customHeight="1" x14ac:dyDescent="0.2">
      <c r="A8" s="59" t="s">
        <v>299</v>
      </c>
    </row>
    <row r="9" spans="1:15" ht="82.5" customHeight="1" x14ac:dyDescent="0.2">
      <c r="A9" s="795"/>
      <c r="B9" s="796"/>
      <c r="C9" s="796"/>
      <c r="D9" s="796"/>
      <c r="E9" s="796"/>
      <c r="F9" s="796"/>
      <c r="G9" s="796"/>
      <c r="H9" s="796"/>
      <c r="I9" s="796"/>
      <c r="J9" s="796"/>
      <c r="K9" s="796"/>
      <c r="L9" s="796"/>
      <c r="M9" s="796"/>
      <c r="N9" s="797"/>
      <c r="O9" s="165"/>
    </row>
    <row r="10" spans="1:15" x14ac:dyDescent="0.2">
      <c r="O10" s="165"/>
    </row>
    <row r="11" spans="1:15" ht="30.75" customHeight="1" x14ac:dyDescent="0.2">
      <c r="A11" s="801" t="s">
        <v>254</v>
      </c>
      <c r="B11" s="801"/>
      <c r="C11" s="801"/>
      <c r="D11" s="801"/>
      <c r="E11" s="801"/>
      <c r="F11" s="801"/>
      <c r="G11" s="801"/>
      <c r="H11" s="801"/>
      <c r="I11" s="801"/>
      <c r="J11" s="801"/>
      <c r="K11" s="801"/>
      <c r="L11" s="801"/>
      <c r="M11" s="801"/>
      <c r="N11" s="801"/>
      <c r="O11" s="165"/>
    </row>
    <row r="12" spans="1:15" x14ac:dyDescent="0.2">
      <c r="O12" s="165"/>
    </row>
    <row r="13" spans="1:15" ht="18" hidden="1" customHeight="1" x14ac:dyDescent="0.2">
      <c r="A13" s="164"/>
      <c r="O13" s="165"/>
    </row>
    <row r="14" spans="1:15" ht="32.25" customHeight="1" x14ac:dyDescent="0.2">
      <c r="A14" s="798" t="s">
        <v>338</v>
      </c>
      <c r="B14" s="798"/>
      <c r="C14" s="798"/>
      <c r="D14" s="798"/>
      <c r="E14" s="798"/>
      <c r="F14" s="798"/>
      <c r="G14" s="798"/>
      <c r="H14" s="798"/>
      <c r="I14" s="798"/>
      <c r="J14" s="798"/>
      <c r="K14" s="798"/>
      <c r="L14" s="798"/>
      <c r="M14" s="798"/>
      <c r="N14" s="798"/>
      <c r="O14" s="165" t="str">
        <f>IF(AND($K$6="sim",A15=""),"Falta preencher à questão_1!","")</f>
        <v/>
      </c>
    </row>
    <row r="15" spans="1:15" ht="140.25" customHeight="1" x14ac:dyDescent="0.2">
      <c r="A15" s="795" t="s">
        <v>348</v>
      </c>
      <c r="B15" s="796"/>
      <c r="C15" s="796"/>
      <c r="D15" s="796"/>
      <c r="E15" s="796"/>
      <c r="F15" s="796"/>
      <c r="G15" s="796"/>
      <c r="H15" s="796"/>
      <c r="I15" s="796"/>
      <c r="J15" s="796"/>
      <c r="K15" s="796"/>
      <c r="L15" s="796"/>
      <c r="M15" s="796"/>
      <c r="N15" s="797"/>
      <c r="O15" s="165"/>
    </row>
    <row r="16" spans="1:15" x14ac:dyDescent="0.2">
      <c r="O16" s="165"/>
    </row>
    <row r="17" spans="1:15" ht="16.5" customHeight="1" x14ac:dyDescent="0.2">
      <c r="A17" s="798" t="s">
        <v>301</v>
      </c>
      <c r="B17" s="798"/>
      <c r="C17" s="798"/>
      <c r="D17" s="798"/>
      <c r="E17" s="798"/>
      <c r="F17" s="798"/>
      <c r="G17" s="798"/>
      <c r="H17" s="798"/>
      <c r="I17" s="798"/>
      <c r="J17" s="798"/>
      <c r="K17" s="798"/>
      <c r="L17" s="798"/>
      <c r="M17" s="798"/>
      <c r="N17" s="798"/>
      <c r="O17" s="165"/>
    </row>
    <row r="18" spans="1:15" ht="18" customHeight="1" x14ac:dyDescent="0.2">
      <c r="A18" s="59" t="s">
        <v>339</v>
      </c>
      <c r="O18" s="165" t="str">
        <f>IF(AND($K$6="sim",A19=""),"Falta preencher à questão_2-a)!","")</f>
        <v/>
      </c>
    </row>
    <row r="19" spans="1:15" ht="140.25" customHeight="1" x14ac:dyDescent="0.2">
      <c r="A19" s="795" t="s">
        <v>349</v>
      </c>
      <c r="B19" s="796"/>
      <c r="C19" s="796"/>
      <c r="D19" s="796"/>
      <c r="E19" s="796"/>
      <c r="F19" s="796"/>
      <c r="G19" s="796"/>
      <c r="H19" s="796"/>
      <c r="I19" s="796"/>
      <c r="J19" s="796"/>
      <c r="K19" s="796"/>
      <c r="L19" s="796"/>
      <c r="M19" s="796"/>
      <c r="N19" s="797"/>
      <c r="O19" s="165"/>
    </row>
    <row r="20" spans="1:15" x14ac:dyDescent="0.2">
      <c r="O20" s="165"/>
    </row>
    <row r="21" spans="1:15" ht="18" customHeight="1" x14ac:dyDescent="0.2">
      <c r="A21" s="798" t="s">
        <v>253</v>
      </c>
      <c r="B21" s="798"/>
      <c r="C21" s="798"/>
      <c r="D21" s="798"/>
      <c r="E21" s="798"/>
      <c r="F21" s="798"/>
      <c r="G21" s="798"/>
      <c r="H21" s="798"/>
      <c r="I21" s="798"/>
      <c r="J21" s="798"/>
      <c r="K21" s="798"/>
      <c r="L21" s="798"/>
      <c r="M21" s="798"/>
      <c r="N21" s="798"/>
      <c r="O21" s="165" t="str">
        <f>IF(AND($K$6="sim",A22=""),"Falta preencher à questão_2-b)!","")</f>
        <v/>
      </c>
    </row>
    <row r="22" spans="1:15" ht="140.25" customHeight="1" x14ac:dyDescent="0.2">
      <c r="A22" s="795" t="s">
        <v>350</v>
      </c>
      <c r="B22" s="796"/>
      <c r="C22" s="796"/>
      <c r="D22" s="796"/>
      <c r="E22" s="796"/>
      <c r="F22" s="796"/>
      <c r="G22" s="796"/>
      <c r="H22" s="796"/>
      <c r="I22" s="796"/>
      <c r="J22" s="796"/>
      <c r="K22" s="796"/>
      <c r="L22" s="796"/>
      <c r="M22" s="796"/>
      <c r="N22" s="797"/>
      <c r="O22" s="165"/>
    </row>
    <row r="23" spans="1:15" x14ac:dyDescent="0.2">
      <c r="O23" s="165"/>
    </row>
    <row r="24" spans="1:15" ht="18" customHeight="1" x14ac:dyDescent="0.2">
      <c r="A24" s="59" t="s">
        <v>340</v>
      </c>
      <c r="O24" s="165" t="str">
        <f>IF(AND($K$6="sim",A25=""),"Falta preencher à questão_2-c)!","")</f>
        <v/>
      </c>
    </row>
    <row r="25" spans="1:15" ht="140.25" customHeight="1" x14ac:dyDescent="0.2">
      <c r="A25" s="795" t="s">
        <v>351</v>
      </c>
      <c r="B25" s="796"/>
      <c r="C25" s="796"/>
      <c r="D25" s="796"/>
      <c r="E25" s="796"/>
      <c r="F25" s="796"/>
      <c r="G25" s="796"/>
      <c r="H25" s="796"/>
      <c r="I25" s="796"/>
      <c r="J25" s="796"/>
      <c r="K25" s="796"/>
      <c r="L25" s="796"/>
      <c r="M25" s="796"/>
      <c r="N25" s="797"/>
      <c r="O25" s="165"/>
    </row>
    <row r="26" spans="1:15" x14ac:dyDescent="0.2">
      <c r="O26" s="165" t="str">
        <f t="shared" ref="O26" si="0">IF(AND($K$6="sim",A27=""),"Falta preencher esta questão!","")</f>
        <v/>
      </c>
    </row>
    <row r="27" spans="1:15" ht="18" customHeight="1" x14ac:dyDescent="0.2">
      <c r="A27" s="59" t="s">
        <v>341</v>
      </c>
      <c r="O27" s="165" t="str">
        <f>IF(AND($K$6="sim",A28=""),"Falta preencher à questão_3!","")</f>
        <v/>
      </c>
    </row>
    <row r="28" spans="1:15" ht="140.25" customHeight="1" x14ac:dyDescent="0.2">
      <c r="A28" s="795" t="s">
        <v>378</v>
      </c>
      <c r="B28" s="796"/>
      <c r="C28" s="796"/>
      <c r="D28" s="796"/>
      <c r="E28" s="796"/>
      <c r="F28" s="796"/>
      <c r="G28" s="796"/>
      <c r="H28" s="796"/>
      <c r="I28" s="796"/>
      <c r="J28" s="796"/>
      <c r="K28" s="796"/>
      <c r="L28" s="796"/>
      <c r="M28" s="796"/>
      <c r="N28" s="797"/>
      <c r="O28" s="165"/>
    </row>
    <row r="29" spans="1:15" x14ac:dyDescent="0.2">
      <c r="O29" s="165"/>
    </row>
    <row r="30" spans="1:15" ht="18" customHeight="1" x14ac:dyDescent="0.2">
      <c r="A30" s="798" t="s">
        <v>300</v>
      </c>
      <c r="B30" s="798"/>
      <c r="C30" s="798"/>
      <c r="D30" s="798"/>
      <c r="E30" s="798"/>
      <c r="F30" s="798"/>
      <c r="G30" s="798"/>
      <c r="H30" s="798"/>
      <c r="I30" s="798"/>
      <c r="J30" s="798"/>
      <c r="K30" s="798"/>
      <c r="L30" s="798"/>
      <c r="M30" s="798"/>
      <c r="N30" s="798"/>
      <c r="O30" s="165" t="str">
        <f>IF(AND($K$6="sim",A31=""),"Falta preencher à questão_4!","")</f>
        <v/>
      </c>
    </row>
    <row r="31" spans="1:15" ht="140.25" customHeight="1" x14ac:dyDescent="0.2">
      <c r="A31" s="795" t="s">
        <v>352</v>
      </c>
      <c r="B31" s="796"/>
      <c r="C31" s="796"/>
      <c r="D31" s="796"/>
      <c r="E31" s="796"/>
      <c r="F31" s="796"/>
      <c r="G31" s="796"/>
      <c r="H31" s="796"/>
      <c r="I31" s="796"/>
      <c r="J31" s="796"/>
      <c r="K31" s="796"/>
      <c r="L31" s="796"/>
      <c r="M31" s="796"/>
      <c r="N31" s="797"/>
      <c r="O31" s="165"/>
    </row>
  </sheetData>
  <sheetProtection password="DC9F" sheet="1" objects="1" scenarios="1"/>
  <mergeCells count="16">
    <mergeCell ref="A31:N31"/>
    <mergeCell ref="A17:N17"/>
    <mergeCell ref="A19:N19"/>
    <mergeCell ref="A21:N21"/>
    <mergeCell ref="A22:N22"/>
    <mergeCell ref="A28:N28"/>
    <mergeCell ref="A30:N30"/>
    <mergeCell ref="L1:M1"/>
    <mergeCell ref="A3:N3"/>
    <mergeCell ref="A4:N4"/>
    <mergeCell ref="A25:N25"/>
    <mergeCell ref="A15:N15"/>
    <mergeCell ref="A14:N14"/>
    <mergeCell ref="A6:J6"/>
    <mergeCell ref="A11:N11"/>
    <mergeCell ref="A9:N9"/>
  </mergeCells>
  <dataValidations count="1">
    <dataValidation type="list" allowBlank="1" showInputMessage="1" showErrorMessage="1" sqref="K6">
      <formula1>"Sim,Não"</formula1>
    </dataValidation>
  </dataValidations>
  <printOptions horizontalCentered="1"/>
  <pageMargins left="0.15748031496062992" right="0.19685039370078741" top="0.6692913385826772" bottom="0.39370078740157483" header="0.27559055118110237" footer="0.31496062992125984"/>
  <pageSetup paperSize="9" scale="80" orientation="portrait" r:id="rId1"/>
  <headerFooter alignWithMargins="0">
    <oddHeader>&amp;C&amp;"Calibri,Negrito"&amp;16Relatório TEIP 2015/2016</oddHeader>
    <oddFooter>&amp;RPág.&amp;P de &amp;N da secção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A1:O44"/>
  <sheetViews>
    <sheetView showGridLines="0" topLeftCell="A23" workbookViewId="0">
      <selection activeCell="P50" sqref="P50"/>
    </sheetView>
  </sheetViews>
  <sheetFormatPr defaultRowHeight="12.75" x14ac:dyDescent="0.2"/>
  <cols>
    <col min="1" max="1" width="7.28515625" style="4" customWidth="1"/>
    <col min="2" max="3" width="14.42578125" style="4" customWidth="1"/>
    <col min="4" max="4" width="1.85546875" style="4" customWidth="1"/>
    <col min="5" max="5" width="10" style="4" customWidth="1"/>
    <col min="6" max="7" width="14.42578125" style="4" customWidth="1"/>
    <col min="8" max="8" width="8.140625" style="4" customWidth="1"/>
    <col min="9" max="9" width="6.28515625" style="4" hidden="1" customWidth="1"/>
    <col min="10" max="10" width="10.28515625" style="4" hidden="1" customWidth="1"/>
    <col min="11" max="11" width="10.28515625" style="4" customWidth="1"/>
    <col min="12" max="15" width="9.140625" style="4"/>
  </cols>
  <sheetData>
    <row r="1" spans="1:10" s="13" customFormat="1" ht="30" customHeight="1" x14ac:dyDescent="0.2">
      <c r="A1" s="28" t="str">
        <f>IF(Início!B6&lt;&gt;"",Início!B6,"")</f>
        <v>Agrupamento de Escolas Maximinos</v>
      </c>
      <c r="B1" s="29"/>
      <c r="C1" s="29"/>
      <c r="D1" s="29"/>
      <c r="E1" s="30"/>
      <c r="F1" s="31"/>
      <c r="G1" s="32">
        <f>IF(Início!G5&gt;0,Início!G5,"")</f>
        <v>303089</v>
      </c>
      <c r="H1" s="33"/>
      <c r="I1" s="13">
        <f>IF(Início!B5&lt;&gt;"",Início!B5,"")</f>
        <v>40</v>
      </c>
    </row>
    <row r="2" spans="1:10" s="4" customFormat="1" x14ac:dyDescent="0.2">
      <c r="F2" s="63" t="s">
        <v>17</v>
      </c>
      <c r="G2" s="63" t="s">
        <v>19</v>
      </c>
      <c r="H2" s="63" t="s">
        <v>18</v>
      </c>
      <c r="I2" s="44"/>
      <c r="J2" s="13"/>
    </row>
    <row r="3" spans="1:10" s="4" customFormat="1" ht="30.75" customHeight="1" x14ac:dyDescent="0.2">
      <c r="A3" s="428" t="s">
        <v>269</v>
      </c>
      <c r="B3" s="420"/>
      <c r="C3" s="420"/>
      <c r="D3" s="420"/>
      <c r="E3" s="420"/>
      <c r="F3" s="420"/>
      <c r="G3" s="420"/>
      <c r="H3" s="420"/>
    </row>
    <row r="4" spans="1:10" s="4" customFormat="1" ht="20.25" customHeight="1" x14ac:dyDescent="0.2">
      <c r="A4" s="371"/>
      <c r="B4" s="372"/>
      <c r="C4" s="390">
        <v>150721</v>
      </c>
      <c r="D4" s="372"/>
      <c r="E4" s="372"/>
      <c r="F4" s="372"/>
      <c r="G4" s="372"/>
      <c r="H4" s="372"/>
    </row>
    <row r="5" spans="1:10" s="4" customFormat="1" ht="15" customHeight="1" x14ac:dyDescent="0.2">
      <c r="A5" s="419" t="s">
        <v>108</v>
      </c>
      <c r="B5" s="420"/>
      <c r="C5" s="62"/>
      <c r="D5" s="54"/>
      <c r="J5" s="4">
        <v>7</v>
      </c>
    </row>
    <row r="6" spans="1:10" s="4" customFormat="1" ht="9" customHeight="1" x14ac:dyDescent="0.2">
      <c r="C6" s="56" t="s">
        <v>109</v>
      </c>
    </row>
    <row r="7" spans="1:10" s="4" customFormat="1" ht="20.25" customHeight="1" x14ac:dyDescent="0.2">
      <c r="C7" s="390">
        <v>303089</v>
      </c>
    </row>
    <row r="8" spans="1:10" s="4" customFormat="1" ht="15" customHeight="1" x14ac:dyDescent="0.2">
      <c r="A8" s="419" t="s">
        <v>110</v>
      </c>
      <c r="B8" s="420"/>
      <c r="C8" s="62"/>
      <c r="D8" s="54"/>
      <c r="J8" s="4">
        <v>2</v>
      </c>
    </row>
    <row r="9" spans="1:10" s="4" customFormat="1" ht="9" customHeight="1" x14ac:dyDescent="0.2">
      <c r="C9" s="56" t="s">
        <v>111</v>
      </c>
    </row>
    <row r="10" spans="1:10" s="4" customFormat="1" ht="20.25" customHeight="1" x14ac:dyDescent="0.2">
      <c r="C10" s="415" t="s">
        <v>119</v>
      </c>
      <c r="D10" s="416"/>
      <c r="E10" s="416"/>
      <c r="F10" s="416"/>
      <c r="G10" s="416"/>
      <c r="H10" s="416"/>
    </row>
    <row r="11" spans="1:10" s="20" customFormat="1" ht="22.5" customHeight="1" x14ac:dyDescent="0.2">
      <c r="A11" s="419" t="s">
        <v>105</v>
      </c>
      <c r="B11" s="420"/>
      <c r="C11" s="421"/>
      <c r="D11" s="422"/>
      <c r="E11" s="423"/>
      <c r="F11" s="423"/>
      <c r="G11" s="423"/>
      <c r="H11" s="424"/>
      <c r="J11" s="20">
        <v>3</v>
      </c>
    </row>
    <row r="12" spans="1:10" s="4" customFormat="1" ht="20.25" customHeight="1" x14ac:dyDescent="0.2">
      <c r="A12" s="37"/>
      <c r="B12" s="12"/>
      <c r="C12" s="415" t="s">
        <v>183</v>
      </c>
      <c r="D12" s="416"/>
      <c r="E12" s="416"/>
      <c r="F12" s="416"/>
      <c r="G12" s="416"/>
      <c r="H12" s="416"/>
    </row>
    <row r="13" spans="1:10" s="20" customFormat="1" ht="22.5" customHeight="1" x14ac:dyDescent="0.2">
      <c r="A13" s="419" t="s">
        <v>42</v>
      </c>
      <c r="B13" s="420"/>
      <c r="C13" s="421"/>
      <c r="D13" s="422"/>
      <c r="E13" s="423"/>
      <c r="F13" s="423"/>
      <c r="G13" s="423"/>
      <c r="H13" s="424"/>
      <c r="J13" s="35">
        <v>36</v>
      </c>
    </row>
    <row r="14" spans="1:10" s="4" customFormat="1" ht="20.25" customHeight="1" x14ac:dyDescent="0.2">
      <c r="A14" s="37"/>
      <c r="B14" s="12"/>
      <c r="C14" s="415" t="s">
        <v>184</v>
      </c>
      <c r="D14" s="416"/>
      <c r="E14" s="416"/>
      <c r="F14" s="416"/>
      <c r="G14" s="416"/>
      <c r="H14" s="416"/>
    </row>
    <row r="15" spans="1:10" s="20" customFormat="1" ht="22.5" customHeight="1" x14ac:dyDescent="0.2">
      <c r="A15" s="419" t="s">
        <v>43</v>
      </c>
      <c r="B15" s="420"/>
      <c r="C15" s="421"/>
      <c r="D15" s="422"/>
      <c r="E15" s="423"/>
      <c r="F15" s="423"/>
      <c r="G15" s="423"/>
      <c r="H15" s="424"/>
      <c r="J15" s="20">
        <v>37</v>
      </c>
    </row>
    <row r="16" spans="1:10" s="4" customFormat="1" ht="20.25" customHeight="1" x14ac:dyDescent="0.2">
      <c r="A16" s="37"/>
      <c r="B16" s="12"/>
      <c r="C16" s="417" t="s">
        <v>180</v>
      </c>
      <c r="D16" s="418"/>
      <c r="E16" s="418"/>
      <c r="F16" s="12"/>
      <c r="G16" s="12"/>
      <c r="H16" s="12"/>
    </row>
    <row r="17" spans="1:10" s="4" customFormat="1" ht="15" customHeight="1" x14ac:dyDescent="0.2">
      <c r="A17" s="419" t="s">
        <v>103</v>
      </c>
      <c r="B17" s="425"/>
      <c r="C17" s="429"/>
      <c r="D17" s="423"/>
      <c r="E17" s="424"/>
      <c r="J17" s="4">
        <v>39</v>
      </c>
    </row>
    <row r="18" spans="1:10" s="4" customFormat="1" ht="9" customHeight="1" x14ac:dyDescent="0.2">
      <c r="B18" s="419"/>
      <c r="C18" s="420"/>
      <c r="F18" s="54"/>
      <c r="G18" s="54"/>
      <c r="H18" s="54"/>
    </row>
    <row r="19" spans="1:10" s="4" customFormat="1" ht="15" customHeight="1" x14ac:dyDescent="0.2">
      <c r="A19" s="419" t="s">
        <v>104</v>
      </c>
      <c r="B19" s="425"/>
      <c r="C19" s="62"/>
      <c r="D19" s="55" t="s">
        <v>328</v>
      </c>
      <c r="E19" s="62"/>
      <c r="F19" s="391" t="s">
        <v>185</v>
      </c>
      <c r="G19" s="3"/>
      <c r="H19" s="3"/>
      <c r="J19" s="4">
        <v>38</v>
      </c>
    </row>
    <row r="20" spans="1:10" s="4" customFormat="1" ht="20.25" customHeight="1" x14ac:dyDescent="0.2">
      <c r="C20" s="415"/>
      <c r="D20" s="416"/>
      <c r="E20" s="416"/>
      <c r="F20" s="416"/>
      <c r="G20" s="416"/>
      <c r="H20" s="416"/>
    </row>
    <row r="21" spans="1:10" s="20" customFormat="1" ht="22.5" customHeight="1" x14ac:dyDescent="0.2">
      <c r="A21" s="419" t="s">
        <v>159</v>
      </c>
      <c r="B21" s="425"/>
      <c r="C21" s="421" t="s">
        <v>354</v>
      </c>
      <c r="D21" s="422"/>
      <c r="E21" s="423"/>
      <c r="F21" s="423"/>
      <c r="G21" s="423"/>
      <c r="H21" s="424"/>
    </row>
    <row r="22" spans="1:10" s="4" customFormat="1" ht="20.25" customHeight="1" x14ac:dyDescent="0.2"/>
    <row r="23" spans="1:10" s="20" customFormat="1" ht="22.5" customHeight="1" x14ac:dyDescent="0.2">
      <c r="A23" s="419" t="s">
        <v>160</v>
      </c>
      <c r="B23" s="425" t="s">
        <v>107</v>
      </c>
      <c r="C23" s="421" t="s">
        <v>353</v>
      </c>
      <c r="D23" s="422"/>
      <c r="E23" s="423"/>
      <c r="F23" s="423"/>
      <c r="G23" s="423"/>
      <c r="H23" s="424"/>
    </row>
    <row r="24" spans="1:10" s="4" customFormat="1" ht="9" customHeight="1" x14ac:dyDescent="0.2"/>
    <row r="25" spans="1:10" s="4" customFormat="1" ht="15" customHeight="1" x14ac:dyDescent="0.2">
      <c r="A25" s="419" t="s">
        <v>102</v>
      </c>
      <c r="B25" s="425" t="s">
        <v>106</v>
      </c>
      <c r="C25" s="62"/>
      <c r="D25" s="54"/>
      <c r="E25" s="426" t="s">
        <v>181</v>
      </c>
      <c r="F25" s="427"/>
      <c r="G25" s="427"/>
      <c r="H25" s="427"/>
      <c r="J25" s="4">
        <v>34</v>
      </c>
    </row>
    <row r="26" spans="1:10" s="4" customFormat="1" ht="9" customHeight="1" x14ac:dyDescent="0.2"/>
    <row r="27" spans="1:10" s="4" customFormat="1" ht="15" customHeight="1" x14ac:dyDescent="0.2">
      <c r="A27" s="419" t="s">
        <v>44</v>
      </c>
      <c r="B27" s="425"/>
      <c r="C27" s="62"/>
      <c r="D27" s="54"/>
      <c r="E27" s="426" t="s">
        <v>182</v>
      </c>
      <c r="F27" s="427"/>
      <c r="G27" s="427"/>
      <c r="H27" s="427"/>
      <c r="J27" s="4">
        <v>35</v>
      </c>
    </row>
    <row r="28" spans="1:10" s="4" customFormat="1" ht="9" customHeight="1" thickBot="1" x14ac:dyDescent="0.25">
      <c r="B28" s="38"/>
      <c r="C28" s="38"/>
      <c r="D28" s="38"/>
      <c r="E28" s="38"/>
      <c r="F28" s="38"/>
      <c r="G28" s="38"/>
      <c r="H28" s="38"/>
    </row>
    <row r="29" spans="1:10" s="4" customFormat="1" ht="20.25" customHeight="1" thickTop="1" x14ac:dyDescent="0.2">
      <c r="C29" s="415" t="s">
        <v>186</v>
      </c>
      <c r="D29" s="416"/>
      <c r="E29" s="416"/>
      <c r="F29" s="416"/>
      <c r="G29" s="416"/>
      <c r="H29" s="416"/>
    </row>
    <row r="30" spans="1:10" s="20" customFormat="1" ht="23.25" customHeight="1" x14ac:dyDescent="0.2">
      <c r="A30" s="419" t="s">
        <v>41</v>
      </c>
      <c r="B30" s="420"/>
      <c r="C30" s="421"/>
      <c r="D30" s="422"/>
      <c r="E30" s="423"/>
      <c r="F30" s="423"/>
      <c r="G30" s="423"/>
      <c r="H30" s="424"/>
      <c r="J30" s="20">
        <v>44</v>
      </c>
    </row>
    <row r="31" spans="1:10" s="4" customFormat="1" ht="20.25" customHeight="1" x14ac:dyDescent="0.2">
      <c r="A31" s="37"/>
      <c r="B31" s="12"/>
      <c r="C31" s="415" t="s">
        <v>187</v>
      </c>
      <c r="D31" s="416"/>
      <c r="E31" s="416"/>
      <c r="F31" s="416"/>
      <c r="G31" s="416"/>
      <c r="H31" s="416"/>
    </row>
    <row r="32" spans="1:10" s="20" customFormat="1" ht="22.5" customHeight="1" x14ac:dyDescent="0.2">
      <c r="A32" s="419" t="s">
        <v>45</v>
      </c>
      <c r="B32" s="425"/>
      <c r="C32" s="421"/>
      <c r="D32" s="422"/>
      <c r="E32" s="423"/>
      <c r="F32" s="423"/>
      <c r="G32" s="423"/>
      <c r="H32" s="424"/>
      <c r="J32" s="20">
        <v>45</v>
      </c>
    </row>
    <row r="33" spans="1:10" s="4" customFormat="1" ht="9" customHeight="1" thickBot="1" x14ac:dyDescent="0.25">
      <c r="B33" s="38"/>
      <c r="C33" s="38"/>
      <c r="D33" s="38"/>
      <c r="E33" s="38"/>
      <c r="F33" s="38"/>
      <c r="G33" s="38"/>
      <c r="H33" s="38"/>
    </row>
    <row r="34" spans="1:10" s="4" customFormat="1" ht="20.25" customHeight="1" thickTop="1" x14ac:dyDescent="0.2">
      <c r="C34" s="415" t="s">
        <v>188</v>
      </c>
      <c r="D34" s="416"/>
      <c r="E34" s="416"/>
      <c r="F34" s="416"/>
      <c r="G34" s="416"/>
      <c r="H34" s="416"/>
    </row>
    <row r="35" spans="1:10" s="20" customFormat="1" ht="23.25" customHeight="1" x14ac:dyDescent="0.2">
      <c r="A35" s="419" t="s">
        <v>46</v>
      </c>
      <c r="B35" s="420"/>
      <c r="C35" s="421"/>
      <c r="D35" s="422"/>
      <c r="E35" s="423"/>
      <c r="F35" s="423"/>
      <c r="G35" s="423"/>
      <c r="H35" s="424"/>
      <c r="J35" s="20">
        <v>46</v>
      </c>
    </row>
    <row r="36" spans="1:10" s="4" customFormat="1" ht="20.25" customHeight="1" x14ac:dyDescent="0.2">
      <c r="A36" s="37"/>
      <c r="B36" s="12"/>
      <c r="C36" s="415" t="s">
        <v>189</v>
      </c>
      <c r="D36" s="416"/>
      <c r="E36" s="416"/>
      <c r="F36" s="416"/>
      <c r="G36" s="416"/>
      <c r="H36" s="416"/>
    </row>
    <row r="37" spans="1:10" s="20" customFormat="1" ht="22.5" customHeight="1" x14ac:dyDescent="0.2">
      <c r="A37" s="419" t="s">
        <v>45</v>
      </c>
      <c r="B37" s="425"/>
      <c r="C37" s="421"/>
      <c r="D37" s="422"/>
      <c r="E37" s="423"/>
      <c r="F37" s="423"/>
      <c r="G37" s="423"/>
      <c r="H37" s="424"/>
      <c r="J37" s="20">
        <v>47</v>
      </c>
    </row>
    <row r="38" spans="1:10" s="4" customFormat="1" ht="9" customHeight="1" thickBot="1" x14ac:dyDescent="0.25">
      <c r="B38" s="38"/>
      <c r="C38" s="38"/>
      <c r="D38" s="38"/>
      <c r="E38" s="38"/>
      <c r="F38" s="38"/>
      <c r="G38" s="38"/>
      <c r="H38" s="38"/>
    </row>
    <row r="39" spans="1:10" ht="20.25" customHeight="1" thickTop="1" x14ac:dyDescent="0.2">
      <c r="C39" s="415" t="s">
        <v>190</v>
      </c>
      <c r="D39" s="416"/>
      <c r="E39" s="416"/>
      <c r="F39" s="416"/>
      <c r="G39" s="416"/>
      <c r="H39" s="416"/>
    </row>
    <row r="40" spans="1:10" ht="23.25" customHeight="1" x14ac:dyDescent="0.2">
      <c r="A40" s="419" t="s">
        <v>162</v>
      </c>
      <c r="B40" s="420"/>
      <c r="C40" s="421"/>
      <c r="D40" s="422"/>
      <c r="E40" s="423"/>
      <c r="F40" s="423"/>
      <c r="G40" s="423"/>
      <c r="H40" s="424"/>
      <c r="J40" s="4">
        <v>48</v>
      </c>
    </row>
    <row r="41" spans="1:10" ht="20.25" customHeight="1" x14ac:dyDescent="0.2">
      <c r="A41" s="37"/>
      <c r="B41" s="12"/>
      <c r="C41" s="12"/>
      <c r="D41" s="12"/>
      <c r="E41" s="12"/>
      <c r="F41" s="12"/>
      <c r="G41" s="12"/>
      <c r="H41" s="12"/>
    </row>
    <row r="42" spans="1:10" ht="21.75" customHeight="1" x14ac:dyDescent="0.2">
      <c r="A42" s="419" t="s">
        <v>45</v>
      </c>
      <c r="B42" s="425"/>
      <c r="C42" s="421" t="s">
        <v>355</v>
      </c>
      <c r="D42" s="422"/>
      <c r="E42" s="423"/>
      <c r="F42" s="423"/>
      <c r="G42" s="423"/>
      <c r="H42" s="424"/>
    </row>
    <row r="43" spans="1:10" ht="9" customHeight="1" thickBot="1" x14ac:dyDescent="0.25">
      <c r="B43" s="38"/>
      <c r="C43" s="38"/>
      <c r="D43" s="38"/>
      <c r="E43" s="38"/>
      <c r="F43" s="38"/>
      <c r="G43" s="38"/>
      <c r="H43" s="38"/>
    </row>
    <row r="44" spans="1:10" ht="13.5" thickTop="1" x14ac:dyDescent="0.2"/>
  </sheetData>
  <sheetProtection password="DC9F" sheet="1"/>
  <mergeCells count="43">
    <mergeCell ref="A13:B13"/>
    <mergeCell ref="C13:H13"/>
    <mergeCell ref="A15:B15"/>
    <mergeCell ref="C15:H15"/>
    <mergeCell ref="C17:E17"/>
    <mergeCell ref="A17:B17"/>
    <mergeCell ref="A3:H3"/>
    <mergeCell ref="A5:B5"/>
    <mergeCell ref="A8:B8"/>
    <mergeCell ref="A11:B11"/>
    <mergeCell ref="C11:H11"/>
    <mergeCell ref="C10:H10"/>
    <mergeCell ref="A42:B42"/>
    <mergeCell ref="C42:H42"/>
    <mergeCell ref="A37:B37"/>
    <mergeCell ref="C37:H37"/>
    <mergeCell ref="C39:H39"/>
    <mergeCell ref="A40:B40"/>
    <mergeCell ref="C40:H40"/>
    <mergeCell ref="E25:H25"/>
    <mergeCell ref="C23:H23"/>
    <mergeCell ref="A30:B30"/>
    <mergeCell ref="C30:H30"/>
    <mergeCell ref="A32:B32"/>
    <mergeCell ref="C32:H32"/>
    <mergeCell ref="A27:B27"/>
    <mergeCell ref="E27:H27"/>
    <mergeCell ref="C36:H36"/>
    <mergeCell ref="C12:H12"/>
    <mergeCell ref="C14:H14"/>
    <mergeCell ref="C16:E16"/>
    <mergeCell ref="A35:B35"/>
    <mergeCell ref="C35:H35"/>
    <mergeCell ref="B18:C18"/>
    <mergeCell ref="C29:H29"/>
    <mergeCell ref="C31:H31"/>
    <mergeCell ref="C34:H34"/>
    <mergeCell ref="A21:B21"/>
    <mergeCell ref="C21:H21"/>
    <mergeCell ref="A25:B25"/>
    <mergeCell ref="A19:B19"/>
    <mergeCell ref="A23:B23"/>
    <mergeCell ref="C20:H20"/>
  </mergeCells>
  <hyperlinks>
    <hyperlink ref="F2" location="Início!A1" display="Início"/>
    <hyperlink ref="H2" location="'1_IAA'!A1" display="Seguinte"/>
    <hyperlink ref="G2" location="Início!A1" display="Anterior"/>
  </hyperlinks>
  <pageMargins left="0.70866141732283472" right="0.70866141732283472" top="0.74803149606299213" bottom="0.74803149606299213" header="0.31496062992125984" footer="0.31496062992125984"/>
  <pageSetup paperSize="9" scale="97" orientation="portrait" r:id="rId1"/>
  <headerFooter>
    <oddHeader>&amp;C&amp;"Arial,Negrito"&amp;16Relatório TEIP 2015 / 2016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71"/>
  <dimension ref="A1:V173"/>
  <sheetViews>
    <sheetView showGridLines="0" topLeftCell="A76" workbookViewId="0">
      <selection activeCell="P80" sqref="P80"/>
    </sheetView>
  </sheetViews>
  <sheetFormatPr defaultRowHeight="12.75" x14ac:dyDescent="0.2"/>
  <cols>
    <col min="1" max="1" width="2.85546875" style="39" customWidth="1"/>
    <col min="2" max="2" width="14.42578125" style="39" customWidth="1"/>
    <col min="3" max="10" width="7.85546875" style="39" customWidth="1"/>
    <col min="11" max="11" width="3.42578125" style="39" customWidth="1"/>
    <col min="12" max="12" width="7.5703125" style="40" hidden="1" customWidth="1"/>
    <col min="13" max="13" width="10.28515625" style="39" hidden="1" customWidth="1"/>
    <col min="14" max="14" width="10.28515625" style="39" customWidth="1"/>
    <col min="15" max="18" width="9.140625" style="39" customWidth="1"/>
    <col min="19" max="21" width="9.140625" style="39"/>
    <col min="22" max="22" width="9.140625" style="39" customWidth="1"/>
    <col min="23" max="16384" width="9.140625" style="39"/>
  </cols>
  <sheetData>
    <row r="1" spans="1:22" s="13" customFormat="1" ht="30" customHeight="1" x14ac:dyDescent="0.2">
      <c r="A1" s="28" t="str">
        <f>IF(Início!B6&lt;&gt;"",Início!B6,"")</f>
        <v>Agrupamento de Escolas Maximinos</v>
      </c>
      <c r="B1" s="29"/>
      <c r="C1" s="29"/>
      <c r="D1" s="29"/>
      <c r="E1" s="30"/>
      <c r="F1" s="30"/>
      <c r="G1" s="31"/>
      <c r="H1" s="31"/>
      <c r="I1" s="434">
        <f>IF(Início!G5&gt;0,Início!G5,"")</f>
        <v>303089</v>
      </c>
      <c r="J1" s="435"/>
      <c r="K1" s="33"/>
      <c r="L1" s="20">
        <f>I1</f>
        <v>303089</v>
      </c>
    </row>
    <row r="2" spans="1:22" x14ac:dyDescent="0.2">
      <c r="E2" s="137" t="s">
        <v>17</v>
      </c>
      <c r="F2" s="137"/>
      <c r="G2" s="63" t="s">
        <v>19</v>
      </c>
      <c r="H2" s="63"/>
      <c r="I2" s="138" t="s">
        <v>18</v>
      </c>
      <c r="J2" s="138"/>
      <c r="L2" s="113"/>
    </row>
    <row r="3" spans="1:22" ht="30.75" customHeight="1" x14ac:dyDescent="0.2">
      <c r="A3" s="465" t="s">
        <v>193</v>
      </c>
      <c r="B3" s="466"/>
      <c r="C3" s="466"/>
      <c r="D3" s="466"/>
      <c r="E3" s="466"/>
      <c r="F3" s="466"/>
      <c r="G3" s="466"/>
      <c r="H3" s="466"/>
      <c r="I3" s="466"/>
      <c r="J3" s="466"/>
      <c r="K3" s="466"/>
    </row>
    <row r="4" spans="1:22" ht="24" customHeight="1" x14ac:dyDescent="0.2">
      <c r="A4" s="463" t="s">
        <v>197</v>
      </c>
      <c r="B4" s="464"/>
      <c r="C4" s="464"/>
      <c r="D4" s="464"/>
      <c r="E4" s="464"/>
      <c r="F4" s="464"/>
      <c r="G4" s="464"/>
      <c r="H4" s="464"/>
      <c r="I4" s="464"/>
      <c r="J4" s="464"/>
      <c r="K4" s="464"/>
      <c r="M4" s="52"/>
    </row>
    <row r="5" spans="1:22" ht="6.75" customHeight="1" x14ac:dyDescent="0.2">
      <c r="A5" s="461"/>
      <c r="B5" s="462"/>
      <c r="C5" s="462"/>
      <c r="D5" s="462"/>
      <c r="E5" s="462"/>
      <c r="F5" s="462"/>
      <c r="G5" s="462"/>
      <c r="H5" s="462"/>
      <c r="I5" s="462"/>
      <c r="J5" s="462"/>
      <c r="K5" s="462"/>
      <c r="L5" s="114"/>
      <c r="M5" s="89"/>
      <c r="N5" s="89"/>
      <c r="O5" s="89"/>
      <c r="P5" s="89"/>
      <c r="Q5" s="89"/>
      <c r="R5" s="89"/>
      <c r="S5" s="89"/>
      <c r="T5" s="89"/>
    </row>
    <row r="6" spans="1:22" s="40" customFormat="1" ht="18" customHeight="1" x14ac:dyDescent="0.2">
      <c r="A6" s="467" t="s">
        <v>261</v>
      </c>
      <c r="B6" s="468"/>
      <c r="C6" s="468"/>
      <c r="D6" s="468"/>
      <c r="E6" s="468"/>
      <c r="F6" s="468"/>
      <c r="G6" s="468"/>
      <c r="H6" s="468"/>
      <c r="I6" s="468"/>
      <c r="J6" s="468"/>
      <c r="K6" s="468"/>
      <c r="M6" s="50"/>
    </row>
    <row r="7" spans="1:22" s="40" customFormat="1" ht="18" customHeight="1" x14ac:dyDescent="0.2">
      <c r="A7" s="134"/>
      <c r="B7" s="134"/>
      <c r="C7" s="134"/>
      <c r="D7" s="167"/>
      <c r="E7" s="134"/>
      <c r="F7" s="167"/>
      <c r="G7" s="134"/>
      <c r="H7" s="167"/>
      <c r="I7" s="134"/>
      <c r="J7" s="167"/>
      <c r="K7" s="39"/>
      <c r="M7" s="50"/>
    </row>
    <row r="8" spans="1:22" s="173" customFormat="1" ht="15" customHeight="1" x14ac:dyDescent="0.2">
      <c r="A8" s="172"/>
      <c r="C8" s="446" t="s">
        <v>209</v>
      </c>
      <c r="D8" s="446"/>
      <c r="E8" s="446"/>
      <c r="F8" s="446"/>
      <c r="G8" s="446"/>
      <c r="H8" s="446"/>
      <c r="I8" s="446"/>
      <c r="J8" s="174"/>
      <c r="M8" s="175"/>
    </row>
    <row r="9" spans="1:22" s="173" customFormat="1" ht="20.25" customHeight="1" x14ac:dyDescent="0.2">
      <c r="A9" s="172"/>
      <c r="B9" s="469" t="s">
        <v>48</v>
      </c>
      <c r="C9" s="471" t="s">
        <v>265</v>
      </c>
      <c r="D9" s="472"/>
      <c r="E9" s="471" t="s">
        <v>266</v>
      </c>
      <c r="F9" s="475"/>
      <c r="G9" s="475"/>
      <c r="H9" s="472"/>
      <c r="I9" s="469" t="s">
        <v>208</v>
      </c>
      <c r="J9" s="174"/>
      <c r="M9" s="175"/>
    </row>
    <row r="10" spans="1:22" s="172" customFormat="1" ht="17.25" customHeight="1" x14ac:dyDescent="0.2">
      <c r="B10" s="476"/>
      <c r="C10" s="473"/>
      <c r="D10" s="474"/>
      <c r="E10" s="446" t="s">
        <v>206</v>
      </c>
      <c r="F10" s="439"/>
      <c r="G10" s="446" t="s">
        <v>207</v>
      </c>
      <c r="H10" s="439"/>
      <c r="I10" s="470"/>
      <c r="J10" s="174"/>
      <c r="K10" s="173"/>
    </row>
    <row r="11" spans="1:22" s="172" customFormat="1" ht="17.25" customHeight="1" x14ac:dyDescent="0.2">
      <c r="B11" s="477"/>
      <c r="C11" s="176" t="s">
        <v>21</v>
      </c>
      <c r="D11" s="176" t="s">
        <v>22</v>
      </c>
      <c r="E11" s="176" t="s">
        <v>21</v>
      </c>
      <c r="F11" s="176" t="s">
        <v>22</v>
      </c>
      <c r="G11" s="176" t="s">
        <v>21</v>
      </c>
      <c r="H11" s="176" t="s">
        <v>22</v>
      </c>
      <c r="I11" s="177" t="s">
        <v>21</v>
      </c>
      <c r="J11" s="174"/>
      <c r="K11" s="173"/>
    </row>
    <row r="12" spans="1:22" s="173" customFormat="1" ht="16.5" customHeight="1" x14ac:dyDescent="0.2">
      <c r="B12" s="178" t="s">
        <v>201</v>
      </c>
      <c r="C12" s="185">
        <v>35</v>
      </c>
      <c r="D12" s="179">
        <f>IF(C12&lt;&gt;"",ROUND(C12/$I12,3),"")</f>
        <v>0.35699999999999998</v>
      </c>
      <c r="E12" s="185">
        <v>10</v>
      </c>
      <c r="F12" s="179">
        <f>IF(E12&lt;&gt;"",ROUND(E12/$I12,3),"")</f>
        <v>0.10199999999999999</v>
      </c>
      <c r="G12" s="185">
        <v>53</v>
      </c>
      <c r="H12" s="179">
        <f>IF(G12&lt;&gt;"",ROUND(G12/$I12,3),"")</f>
        <v>0.54100000000000004</v>
      </c>
      <c r="I12" s="180">
        <f>IF(SUM(C12,E12,G12)&gt;0,SUM(C12,E12,G12),"")</f>
        <v>98</v>
      </c>
      <c r="J12" s="181"/>
    </row>
    <row r="13" spans="1:22" s="173" customFormat="1" ht="6" customHeight="1" x14ac:dyDescent="0.2">
      <c r="J13" s="182"/>
    </row>
    <row r="14" spans="1:22" s="173" customFormat="1" ht="16.5" customHeight="1" x14ac:dyDescent="0.2">
      <c r="C14" s="446" t="s">
        <v>267</v>
      </c>
      <c r="D14" s="439"/>
      <c r="E14" s="439"/>
      <c r="F14" s="439"/>
      <c r="G14" s="439"/>
      <c r="H14" s="439"/>
      <c r="I14" s="439"/>
      <c r="J14" s="439"/>
      <c r="K14" s="183"/>
    </row>
    <row r="15" spans="1:22" s="173" customFormat="1" ht="37.5" customHeight="1" x14ac:dyDescent="0.2">
      <c r="B15" s="184" t="s">
        <v>48</v>
      </c>
      <c r="C15" s="444" t="s">
        <v>263</v>
      </c>
      <c r="D15" s="483"/>
      <c r="E15" s="446" t="s">
        <v>264</v>
      </c>
      <c r="F15" s="439"/>
      <c r="G15" s="482"/>
      <c r="H15" s="482"/>
      <c r="I15" s="446" t="s">
        <v>262</v>
      </c>
      <c r="J15" s="439"/>
      <c r="K15" s="183"/>
    </row>
    <row r="16" spans="1:22" s="173" customFormat="1" ht="17.25" customHeight="1" x14ac:dyDescent="0.2">
      <c r="B16" s="184"/>
      <c r="C16" s="176" t="s">
        <v>21</v>
      </c>
      <c r="D16" s="176" t="s">
        <v>22</v>
      </c>
      <c r="E16" s="446" t="s">
        <v>21</v>
      </c>
      <c r="F16" s="482"/>
      <c r="G16" s="446" t="s">
        <v>22</v>
      </c>
      <c r="H16" s="482"/>
      <c r="I16" s="177" t="s">
        <v>21</v>
      </c>
      <c r="J16" s="177" t="s">
        <v>22</v>
      </c>
      <c r="K16" s="183"/>
      <c r="U16" s="373"/>
      <c r="V16" s="373"/>
    </row>
    <row r="17" spans="1:22" s="173" customFormat="1" ht="16.5" customHeight="1" x14ac:dyDescent="0.2">
      <c r="B17" s="178" t="s">
        <v>201</v>
      </c>
      <c r="C17" s="185">
        <v>14</v>
      </c>
      <c r="D17" s="394">
        <f>IF(C17&lt;&gt;"",ROUND(C17/$I$12,3),"")</f>
        <v>0.14299999999999999</v>
      </c>
      <c r="E17" s="480">
        <v>49</v>
      </c>
      <c r="F17" s="481"/>
      <c r="G17" s="478">
        <f>IF(E17&lt;&gt;"",ROUND(E17/$I$12,3),"")</f>
        <v>0.5</v>
      </c>
      <c r="H17" s="479"/>
      <c r="I17" s="185">
        <v>0</v>
      </c>
      <c r="J17" s="394">
        <f>IF(I17&lt;&gt;"",ROUND(I17/$I$12,3),"")</f>
        <v>0</v>
      </c>
      <c r="K17" s="183"/>
      <c r="U17" s="373"/>
      <c r="V17" s="373"/>
    </row>
    <row r="18" spans="1:22" s="40" customFormat="1" ht="18" customHeight="1" x14ac:dyDescent="0.2">
      <c r="A18" s="136"/>
      <c r="B18" s="135"/>
      <c r="C18" s="135"/>
      <c r="D18" s="168"/>
      <c r="E18" s="135"/>
      <c r="F18" s="168"/>
      <c r="G18" s="135"/>
      <c r="H18" s="168"/>
      <c r="I18" s="135"/>
      <c r="J18" s="168"/>
      <c r="K18" s="366"/>
      <c r="M18" s="50"/>
      <c r="U18" s="373"/>
      <c r="V18" s="373"/>
    </row>
    <row r="19" spans="1:22" s="40" customFormat="1" ht="18" customHeight="1" x14ac:dyDescent="0.2">
      <c r="A19" s="467" t="s">
        <v>270</v>
      </c>
      <c r="B19" s="468"/>
      <c r="C19" s="468"/>
      <c r="D19" s="468"/>
      <c r="E19" s="468"/>
      <c r="F19" s="468"/>
      <c r="G19" s="468"/>
      <c r="H19" s="468"/>
      <c r="I19" s="468"/>
      <c r="J19" s="468"/>
      <c r="K19" s="468"/>
      <c r="M19" s="50"/>
      <c r="U19" s="373"/>
      <c r="V19" s="373"/>
    </row>
    <row r="20" spans="1:22" s="40" customFormat="1" ht="18" customHeight="1" x14ac:dyDescent="0.2">
      <c r="A20" s="80"/>
      <c r="B20" s="80"/>
      <c r="C20" s="80"/>
      <c r="D20" s="167"/>
      <c r="E20" s="80"/>
      <c r="F20" s="167"/>
      <c r="G20" s="80"/>
      <c r="H20" s="167"/>
      <c r="I20" s="80"/>
      <c r="J20" s="167"/>
      <c r="K20" s="39"/>
      <c r="M20" s="50"/>
      <c r="U20" s="373"/>
      <c r="V20" s="373"/>
    </row>
    <row r="21" spans="1:22" s="173" customFormat="1" ht="15" customHeight="1" x14ac:dyDescent="0.2">
      <c r="A21" s="172"/>
      <c r="B21" s="172"/>
      <c r="C21" s="446" t="s">
        <v>257</v>
      </c>
      <c r="D21" s="446"/>
      <c r="E21" s="446"/>
      <c r="F21" s="446"/>
      <c r="G21" s="446"/>
      <c r="H21" s="446"/>
      <c r="I21" s="446"/>
      <c r="J21" s="439"/>
      <c r="U21" s="373"/>
      <c r="V21" s="373"/>
    </row>
    <row r="22" spans="1:22" s="172" customFormat="1" ht="39.75" customHeight="1" x14ac:dyDescent="0.2">
      <c r="B22" s="446" t="s">
        <v>48</v>
      </c>
      <c r="C22" s="447" t="s">
        <v>258</v>
      </c>
      <c r="D22" s="448"/>
      <c r="E22" s="447" t="s">
        <v>259</v>
      </c>
      <c r="F22" s="448"/>
      <c r="G22" s="447" t="s">
        <v>271</v>
      </c>
      <c r="H22" s="448"/>
      <c r="I22" s="447" t="s">
        <v>260</v>
      </c>
      <c r="J22" s="448"/>
      <c r="K22" s="173"/>
      <c r="L22" s="173"/>
      <c r="U22" s="373"/>
      <c r="V22" s="373"/>
    </row>
    <row r="23" spans="1:22" s="172" customFormat="1" ht="14.25" customHeight="1" x14ac:dyDescent="0.2">
      <c r="B23" s="439"/>
      <c r="C23" s="444" t="s">
        <v>21</v>
      </c>
      <c r="D23" s="445"/>
      <c r="E23" s="177" t="s">
        <v>21</v>
      </c>
      <c r="F23" s="177" t="s">
        <v>22</v>
      </c>
      <c r="G23" s="177" t="s">
        <v>21</v>
      </c>
      <c r="H23" s="177" t="s">
        <v>22</v>
      </c>
      <c r="I23" s="177" t="s">
        <v>21</v>
      </c>
      <c r="J23" s="177" t="s">
        <v>22</v>
      </c>
      <c r="K23" s="173"/>
      <c r="L23" s="173"/>
      <c r="U23" s="373"/>
      <c r="V23" s="373"/>
    </row>
    <row r="24" spans="1:22" s="112" customFormat="1" ht="20.25" customHeight="1" x14ac:dyDescent="0.2">
      <c r="A24" s="187"/>
      <c r="B24" s="449" t="s">
        <v>215</v>
      </c>
      <c r="C24" s="450"/>
      <c r="D24" s="450"/>
      <c r="E24" s="450"/>
      <c r="F24" s="450"/>
      <c r="G24" s="450"/>
      <c r="H24" s="450"/>
      <c r="I24" s="450"/>
      <c r="J24" s="439"/>
      <c r="K24" s="367"/>
      <c r="L24" s="173"/>
      <c r="M24" s="188"/>
    </row>
    <row r="25" spans="1:22" s="173" customFormat="1" ht="16.5" customHeight="1" x14ac:dyDescent="0.2">
      <c r="B25" s="189" t="s">
        <v>211</v>
      </c>
      <c r="C25" s="430">
        <v>636</v>
      </c>
      <c r="D25" s="431"/>
      <c r="E25" s="190">
        <v>17</v>
      </c>
      <c r="F25" s="394">
        <f>IF(E25&lt;&gt;"",ROUND(E25/$C25,3),"")</f>
        <v>2.7E-2</v>
      </c>
      <c r="G25" s="190">
        <v>5</v>
      </c>
      <c r="H25" s="394">
        <f>IF(G25&lt;&gt;"",ROUND(G25/$C25,3),"")</f>
        <v>8.0000000000000002E-3</v>
      </c>
      <c r="I25" s="190">
        <v>1</v>
      </c>
      <c r="J25" s="394">
        <f>IF(I25&lt;&gt;"",ROUND(I25/$C25,3),"")</f>
        <v>2E-3</v>
      </c>
      <c r="K25" s="183" t="str">
        <f>IF(AND(SUM(E25:I25)&gt;0,OR(C25=0,C25="")),"ERRO! Não há alunos inscritos!","")</f>
        <v/>
      </c>
      <c r="L25" s="173">
        <v>1</v>
      </c>
    </row>
    <row r="26" spans="1:22" s="173" customFormat="1" ht="16.5" customHeight="1" x14ac:dyDescent="0.2">
      <c r="B26" s="178" t="s">
        <v>212</v>
      </c>
      <c r="C26" s="430">
        <v>582</v>
      </c>
      <c r="D26" s="431"/>
      <c r="E26" s="190">
        <v>36</v>
      </c>
      <c r="F26" s="394">
        <f t="shared" ref="F26:F28" si="0">IF(E26&lt;&gt;"",ROUND(E26/$C26,3),"")</f>
        <v>6.2E-2</v>
      </c>
      <c r="G26" s="190">
        <v>2</v>
      </c>
      <c r="H26" s="394">
        <f t="shared" ref="H26:H28" si="1">IF(G26&lt;&gt;"",ROUND(G26/$C26,3),"")</f>
        <v>3.0000000000000001E-3</v>
      </c>
      <c r="I26" s="190">
        <v>0</v>
      </c>
      <c r="J26" s="394">
        <f t="shared" ref="J26:J27" si="2">IF(I26&lt;&gt;"",ROUND(I26/$C26,3),"")</f>
        <v>0</v>
      </c>
      <c r="K26" s="183" t="str">
        <f>IF(AND(SUM(E26:I26)&gt;0,OR(C26=0,C26="")),"ERRO! Não há alunos inscritos!","")</f>
        <v/>
      </c>
      <c r="L26" s="173">
        <v>2</v>
      </c>
    </row>
    <row r="27" spans="1:22" s="173" customFormat="1" ht="16.5" customHeight="1" x14ac:dyDescent="0.2">
      <c r="B27" s="178" t="s">
        <v>213</v>
      </c>
      <c r="C27" s="430">
        <v>502</v>
      </c>
      <c r="D27" s="431"/>
      <c r="E27" s="190">
        <v>34</v>
      </c>
      <c r="F27" s="394">
        <f>IF(E27&lt;&gt;"",ROUND(E27/$C27,3),"")</f>
        <v>6.8000000000000005E-2</v>
      </c>
      <c r="G27" s="190">
        <v>0</v>
      </c>
      <c r="H27" s="394">
        <f>IF(G27&lt;&gt;"",ROUND(G27/$C27,3),"")</f>
        <v>0</v>
      </c>
      <c r="I27" s="190">
        <v>5</v>
      </c>
      <c r="J27" s="394">
        <f t="shared" si="2"/>
        <v>0.01</v>
      </c>
      <c r="K27" s="183" t="str">
        <f>IF(AND(SUM(E27:I27)&gt;0,OR(C27=0,C27="")),"ERRO! Não há alunos inscritos!","")</f>
        <v/>
      </c>
      <c r="L27" s="173">
        <v>3</v>
      </c>
    </row>
    <row r="28" spans="1:22" s="173" customFormat="1" ht="16.5" customHeight="1" x14ac:dyDescent="0.2">
      <c r="B28" s="178" t="s">
        <v>214</v>
      </c>
      <c r="C28" s="430">
        <v>457</v>
      </c>
      <c r="D28" s="431"/>
      <c r="E28" s="190">
        <v>23</v>
      </c>
      <c r="F28" s="394">
        <f t="shared" si="0"/>
        <v>0.05</v>
      </c>
      <c r="G28" s="190">
        <v>0</v>
      </c>
      <c r="H28" s="394">
        <f t="shared" si="1"/>
        <v>0</v>
      </c>
      <c r="I28" s="190">
        <v>2</v>
      </c>
      <c r="J28" s="394">
        <f>IF(I28&lt;&gt;"",ROUND(I28/$C28,3),"")</f>
        <v>4.0000000000000001E-3</v>
      </c>
      <c r="K28" s="183"/>
      <c r="L28" s="173">
        <v>4</v>
      </c>
    </row>
    <row r="29" spans="1:22" s="173" customFormat="1" ht="16.5" customHeight="1" x14ac:dyDescent="0.2">
      <c r="B29" s="191" t="s">
        <v>201</v>
      </c>
      <c r="C29" s="451">
        <v>442</v>
      </c>
      <c r="D29" s="452"/>
      <c r="E29" s="197">
        <v>30</v>
      </c>
      <c r="F29" s="394">
        <f>IF(E29&lt;&gt;"",ROUND(E29/$C29,3),"")</f>
        <v>6.8000000000000005E-2</v>
      </c>
      <c r="G29" s="197">
        <v>0</v>
      </c>
      <c r="H29" s="394">
        <f>IF(G29&lt;&gt;"",ROUND(G29/$C29,3),"")</f>
        <v>0</v>
      </c>
      <c r="I29" s="197">
        <v>2</v>
      </c>
      <c r="J29" s="394">
        <f>IF(I29&lt;&gt;"",ROUND(I29/$C29,3),"")</f>
        <v>5.0000000000000001E-3</v>
      </c>
      <c r="L29" s="183"/>
    </row>
    <row r="30" spans="1:22" s="112" customFormat="1" ht="20.25" customHeight="1" x14ac:dyDescent="0.2">
      <c r="A30" s="187"/>
      <c r="B30" s="454" t="s">
        <v>256</v>
      </c>
      <c r="C30" s="454"/>
      <c r="D30" s="454"/>
      <c r="E30" s="454"/>
      <c r="F30" s="454"/>
      <c r="G30" s="454"/>
      <c r="H30" s="454"/>
      <c r="I30" s="454"/>
      <c r="J30" s="439"/>
      <c r="K30" s="367"/>
      <c r="L30" s="173"/>
      <c r="M30" s="188"/>
    </row>
    <row r="31" spans="1:22" s="112" customFormat="1" ht="16.5" customHeight="1" x14ac:dyDescent="0.2">
      <c r="A31" s="187"/>
      <c r="B31" s="192" t="s">
        <v>201</v>
      </c>
      <c r="C31" s="453">
        <v>0</v>
      </c>
      <c r="D31" s="452"/>
      <c r="E31" s="197">
        <v>0</v>
      </c>
      <c r="F31" s="394" t="e">
        <f>IF(E31&lt;&gt;"",ROUND(E31/$C31,3),"")</f>
        <v>#DIV/0!</v>
      </c>
      <c r="G31" s="198">
        <v>0</v>
      </c>
      <c r="H31" s="394" t="e">
        <f>IF(G31&lt;&gt;"",ROUND(G31/$C31,3),"")</f>
        <v>#DIV/0!</v>
      </c>
      <c r="I31" s="198">
        <v>0</v>
      </c>
      <c r="J31" s="394" t="e">
        <f>IF(I31&lt;&gt;"",ROUND(I31/$C31,3),"")</f>
        <v>#DIV/0!</v>
      </c>
      <c r="K31" s="367"/>
      <c r="L31" s="173"/>
      <c r="M31" s="188"/>
    </row>
    <row r="32" spans="1:22" s="112" customFormat="1" ht="20.25" customHeight="1" x14ac:dyDescent="0.2">
      <c r="A32" s="187"/>
      <c r="B32" s="455" t="s">
        <v>26</v>
      </c>
      <c r="C32" s="456"/>
      <c r="D32" s="456"/>
      <c r="E32" s="456"/>
      <c r="F32" s="456"/>
      <c r="G32" s="456"/>
      <c r="H32" s="456"/>
      <c r="I32" s="456"/>
      <c r="J32" s="439"/>
      <c r="K32" s="367"/>
      <c r="L32" s="173"/>
      <c r="M32" s="188"/>
    </row>
    <row r="33" spans="1:22" s="173" customFormat="1" ht="16.5" customHeight="1" x14ac:dyDescent="0.2">
      <c r="B33" s="193" t="s">
        <v>168</v>
      </c>
      <c r="C33" s="430" t="s">
        <v>118</v>
      </c>
      <c r="D33" s="431"/>
      <c r="E33" s="190" t="s">
        <v>118</v>
      </c>
      <c r="F33" s="394" t="str">
        <f t="shared" ref="F33:F37" si="3">IF(E33&lt;&gt;"",ROUND(E33/$C33,3),"")</f>
        <v/>
      </c>
      <c r="G33" s="190" t="s">
        <v>118</v>
      </c>
      <c r="H33" s="394" t="str">
        <f t="shared" ref="H33:H37" si="4">IF(G33&lt;&gt;"",ROUND(G33/$C33,3),"")</f>
        <v/>
      </c>
      <c r="I33" s="190" t="s">
        <v>118</v>
      </c>
      <c r="J33" s="394" t="str">
        <f t="shared" ref="J33:J37" si="5">IF(I33&lt;&gt;"",ROUND(I33/$C33,3),"")</f>
        <v/>
      </c>
      <c r="K33" s="183"/>
      <c r="L33" s="173">
        <v>5</v>
      </c>
    </row>
    <row r="34" spans="1:22" s="173" customFormat="1" ht="16.5" customHeight="1" x14ac:dyDescent="0.2">
      <c r="B34" s="194" t="s">
        <v>59</v>
      </c>
      <c r="C34" s="430" t="s">
        <v>118</v>
      </c>
      <c r="D34" s="431"/>
      <c r="E34" s="190" t="s">
        <v>118</v>
      </c>
      <c r="F34" s="394" t="str">
        <f t="shared" si="3"/>
        <v/>
      </c>
      <c r="G34" s="190" t="s">
        <v>118</v>
      </c>
      <c r="H34" s="394" t="str">
        <f t="shared" si="4"/>
        <v/>
      </c>
      <c r="I34" s="190" t="s">
        <v>118</v>
      </c>
      <c r="J34" s="394" t="str">
        <f t="shared" si="5"/>
        <v/>
      </c>
      <c r="K34" s="183"/>
      <c r="L34" s="173">
        <v>6</v>
      </c>
    </row>
    <row r="35" spans="1:22" s="173" customFormat="1" ht="16.5" customHeight="1" x14ac:dyDescent="0.2">
      <c r="B35" s="194" t="s">
        <v>125</v>
      </c>
      <c r="C35" s="430" t="s">
        <v>118</v>
      </c>
      <c r="D35" s="431"/>
      <c r="E35" s="190" t="s">
        <v>118</v>
      </c>
      <c r="F35" s="394" t="str">
        <f t="shared" si="3"/>
        <v/>
      </c>
      <c r="G35" s="190" t="s">
        <v>118</v>
      </c>
      <c r="H35" s="394" t="str">
        <f t="shared" si="4"/>
        <v/>
      </c>
      <c r="I35" s="190" t="s">
        <v>118</v>
      </c>
      <c r="J35" s="394" t="str">
        <f t="shared" si="5"/>
        <v/>
      </c>
      <c r="K35" s="183"/>
      <c r="L35" s="173">
        <v>7</v>
      </c>
    </row>
    <row r="36" spans="1:22" s="173" customFormat="1" ht="16.5" customHeight="1" x14ac:dyDescent="0.2">
      <c r="B36" s="194" t="s">
        <v>163</v>
      </c>
      <c r="C36" s="430" t="s">
        <v>118</v>
      </c>
      <c r="D36" s="431"/>
      <c r="E36" s="190" t="s">
        <v>118</v>
      </c>
      <c r="F36" s="394" t="str">
        <f t="shared" si="3"/>
        <v/>
      </c>
      <c r="G36" s="190" t="s">
        <v>118</v>
      </c>
      <c r="H36" s="394" t="str">
        <f t="shared" si="4"/>
        <v/>
      </c>
      <c r="I36" s="190" t="s">
        <v>118</v>
      </c>
      <c r="J36" s="394" t="str">
        <f t="shared" si="5"/>
        <v/>
      </c>
      <c r="K36" s="183"/>
      <c r="L36" s="173">
        <v>8</v>
      </c>
    </row>
    <row r="37" spans="1:22" s="173" customFormat="1" ht="16.5" customHeight="1" x14ac:dyDescent="0.2">
      <c r="B37" s="195" t="s">
        <v>201</v>
      </c>
      <c r="C37" s="451">
        <v>0</v>
      </c>
      <c r="D37" s="452"/>
      <c r="E37" s="197">
        <v>0</v>
      </c>
      <c r="F37" s="394" t="e">
        <f t="shared" si="3"/>
        <v>#DIV/0!</v>
      </c>
      <c r="G37" s="197">
        <v>0</v>
      </c>
      <c r="H37" s="394" t="e">
        <f t="shared" si="4"/>
        <v>#DIV/0!</v>
      </c>
      <c r="I37" s="197">
        <v>0</v>
      </c>
      <c r="J37" s="394" t="e">
        <f t="shared" si="5"/>
        <v>#DIV/0!</v>
      </c>
      <c r="K37" s="183"/>
    </row>
    <row r="38" spans="1:22" s="112" customFormat="1" ht="20.25" customHeight="1" x14ac:dyDescent="0.2">
      <c r="A38" s="187"/>
      <c r="B38" s="438" t="s">
        <v>268</v>
      </c>
      <c r="C38" s="438"/>
      <c r="D38" s="438"/>
      <c r="E38" s="438"/>
      <c r="F38" s="438"/>
      <c r="G38" s="438"/>
      <c r="H38" s="438"/>
      <c r="I38" s="438"/>
      <c r="J38" s="439"/>
      <c r="K38" s="367"/>
      <c r="L38" s="173"/>
      <c r="M38" s="188"/>
    </row>
    <row r="39" spans="1:22" s="112" customFormat="1" ht="16.5" customHeight="1" x14ac:dyDescent="0.2">
      <c r="A39" s="187"/>
      <c r="B39" s="196" t="s">
        <v>201</v>
      </c>
      <c r="C39" s="432">
        <v>0</v>
      </c>
      <c r="D39" s="433"/>
      <c r="E39" s="199">
        <v>0</v>
      </c>
      <c r="F39" s="394" t="e">
        <f>IF(E39&lt;&gt;"",ROUND(E39/$C39,3),"")</f>
        <v>#DIV/0!</v>
      </c>
      <c r="G39" s="199">
        <v>0</v>
      </c>
      <c r="H39" s="394" t="e">
        <f>IF(G39&lt;&gt;"",ROUND(G39/$C39,3),"")</f>
        <v>#DIV/0!</v>
      </c>
      <c r="I39" s="199">
        <v>0</v>
      </c>
      <c r="J39" s="394" t="e">
        <f>IF(I39&lt;&gt;"",ROUND(I39/$C39,3),"")</f>
        <v>#DIV/0!</v>
      </c>
      <c r="K39" s="367"/>
      <c r="L39" s="173"/>
      <c r="M39" s="188"/>
    </row>
    <row r="40" spans="1:22" s="112" customFormat="1" ht="16.5" customHeight="1" x14ac:dyDescent="0.2">
      <c r="A40" s="187"/>
      <c r="B40" s="200" t="s">
        <v>272</v>
      </c>
      <c r="C40" s="457">
        <f>IF(SUM(C29,C31,C37,C39)&gt;0,SUM(C29,C31,C37,C39),"")</f>
        <v>442</v>
      </c>
      <c r="D40" s="457"/>
      <c r="E40" s="201">
        <f>IF(SUM(E29,E31,E37,E39)&gt;0,SUM(E29,E31,E37,E39),"")</f>
        <v>30</v>
      </c>
      <c r="F40" s="394">
        <f>IF(E40&lt;&gt;"",ROUND(E40/$C40,3),"")</f>
        <v>6.8000000000000005E-2</v>
      </c>
      <c r="G40" s="201" t="str">
        <f>IF(SUM(G29,G31,G37,G39)&gt;0,SUM(G29,G31,G37,G39),"")</f>
        <v/>
      </c>
      <c r="H40" s="394" t="str">
        <f>IF(G40&lt;&gt;"",ROUND(G40/$C40,3),"")</f>
        <v/>
      </c>
      <c r="I40" s="201">
        <f>IF(SUM(I29,I31,I37,I39)&gt;0,SUM(I29,I31,I37,I39),"")</f>
        <v>2</v>
      </c>
      <c r="J40" s="394">
        <f>IF(I40&lt;&gt;"",ROUND(I40/$C40,3),"")</f>
        <v>5.0000000000000001E-3</v>
      </c>
      <c r="K40" s="367"/>
      <c r="L40" s="173"/>
      <c r="M40" s="188"/>
    </row>
    <row r="41" spans="1:22" s="40" customFormat="1" ht="132" customHeight="1" x14ac:dyDescent="0.2">
      <c r="A41" s="436" t="s">
        <v>326</v>
      </c>
      <c r="B41" s="437"/>
      <c r="C41" s="437"/>
      <c r="D41" s="437"/>
      <c r="E41" s="437"/>
      <c r="F41" s="437"/>
      <c r="G41" s="437"/>
      <c r="H41" s="437"/>
      <c r="I41" s="437"/>
      <c r="J41" s="437"/>
      <c r="K41" s="437"/>
    </row>
    <row r="42" spans="1:22" s="40" customFormat="1" ht="14.25" customHeight="1" x14ac:dyDescent="0.2">
      <c r="A42" s="186"/>
      <c r="B42" s="169"/>
      <c r="C42" s="169"/>
      <c r="D42" s="169"/>
      <c r="E42" s="169"/>
      <c r="F42" s="169"/>
      <c r="G42" s="169"/>
      <c r="H42" s="169"/>
      <c r="I42" s="169"/>
      <c r="J42" s="169"/>
      <c r="K42" s="368"/>
    </row>
    <row r="43" spans="1:22" s="14" customFormat="1" ht="15.75" customHeight="1" x14ac:dyDescent="0.2">
      <c r="A43" s="6" t="s">
        <v>343</v>
      </c>
      <c r="K43" s="369"/>
      <c r="L43" s="40"/>
    </row>
    <row r="44" spans="1:22" customFormat="1" ht="49.5" customHeight="1" x14ac:dyDescent="0.2">
      <c r="A44" s="458" t="s">
        <v>372</v>
      </c>
      <c r="B44" s="459"/>
      <c r="C44" s="459"/>
      <c r="D44" s="459"/>
      <c r="E44" s="459"/>
      <c r="F44" s="459"/>
      <c r="G44" s="459"/>
      <c r="H44" s="459"/>
      <c r="I44" s="459"/>
      <c r="J44" s="459"/>
      <c r="K44" s="460"/>
      <c r="L44" s="40"/>
      <c r="U44" s="39"/>
      <c r="V44" s="39"/>
    </row>
    <row r="45" spans="1:22" ht="11.25" customHeight="1" x14ac:dyDescent="0.2">
      <c r="A45" s="41"/>
      <c r="B45" s="80"/>
      <c r="C45" s="80"/>
      <c r="D45" s="167"/>
      <c r="E45" s="80"/>
      <c r="F45" s="167"/>
      <c r="G45" s="80"/>
      <c r="H45" s="167"/>
      <c r="I45" s="80"/>
      <c r="J45" s="167"/>
      <c r="M45" s="52"/>
    </row>
    <row r="46" spans="1:22" s="40" customFormat="1" ht="18" customHeight="1" x14ac:dyDescent="0.2">
      <c r="A46" s="465" t="s">
        <v>126</v>
      </c>
      <c r="B46" s="466"/>
      <c r="C46" s="466"/>
      <c r="D46" s="466"/>
      <c r="E46" s="466"/>
      <c r="F46" s="466"/>
      <c r="G46" s="466"/>
      <c r="H46" s="466"/>
      <c r="I46" s="466"/>
      <c r="J46" s="466"/>
      <c r="K46" s="466"/>
      <c r="M46" s="50"/>
    </row>
    <row r="47" spans="1:22" s="40" customFormat="1" ht="18" customHeight="1" x14ac:dyDescent="0.2">
      <c r="A47" s="80"/>
      <c r="B47" s="80"/>
      <c r="C47" s="80"/>
      <c r="D47" s="167"/>
      <c r="E47" s="80"/>
      <c r="F47" s="167"/>
      <c r="G47" s="80"/>
      <c r="H47" s="167"/>
      <c r="I47" s="80"/>
      <c r="J47" s="167"/>
      <c r="K47" s="39"/>
      <c r="M47" s="50"/>
    </row>
    <row r="48" spans="1:22" s="173" customFormat="1" ht="15" customHeight="1" x14ac:dyDescent="0.2">
      <c r="A48" s="172"/>
      <c r="B48" s="172"/>
      <c r="C48" s="446" t="s">
        <v>257</v>
      </c>
      <c r="D48" s="446"/>
      <c r="E48" s="446"/>
      <c r="F48" s="446"/>
      <c r="G48" s="446"/>
      <c r="H48" s="446"/>
      <c r="I48" s="446"/>
      <c r="J48" s="439"/>
    </row>
    <row r="49" spans="1:18" s="172" customFormat="1" ht="39.75" customHeight="1" x14ac:dyDescent="0.2">
      <c r="B49" s="446" t="s">
        <v>48</v>
      </c>
      <c r="C49" s="446" t="s">
        <v>258</v>
      </c>
      <c r="D49" s="439"/>
      <c r="E49" s="446" t="s">
        <v>259</v>
      </c>
      <c r="F49" s="439"/>
      <c r="G49" s="446" t="s">
        <v>271</v>
      </c>
      <c r="H49" s="439"/>
      <c r="I49" s="446" t="s">
        <v>260</v>
      </c>
      <c r="J49" s="439"/>
      <c r="K49" s="173"/>
      <c r="L49" s="173"/>
    </row>
    <row r="50" spans="1:18" s="172" customFormat="1" ht="14.25" customHeight="1" x14ac:dyDescent="0.2">
      <c r="B50" s="439"/>
      <c r="C50" s="444" t="s">
        <v>21</v>
      </c>
      <c r="D50" s="445"/>
      <c r="E50" s="177" t="s">
        <v>21</v>
      </c>
      <c r="F50" s="177" t="s">
        <v>22</v>
      </c>
      <c r="G50" s="177" t="s">
        <v>21</v>
      </c>
      <c r="H50" s="177" t="s">
        <v>22</v>
      </c>
      <c r="I50" s="177" t="s">
        <v>21</v>
      </c>
      <c r="J50" s="177" t="s">
        <v>22</v>
      </c>
      <c r="K50" s="173"/>
      <c r="L50" s="173"/>
    </row>
    <row r="51" spans="1:18" s="112" customFormat="1" ht="20.25" customHeight="1" x14ac:dyDescent="0.2">
      <c r="A51" s="187"/>
      <c r="B51" s="449" t="s">
        <v>215</v>
      </c>
      <c r="C51" s="450"/>
      <c r="D51" s="450"/>
      <c r="E51" s="450"/>
      <c r="F51" s="450"/>
      <c r="G51" s="450"/>
      <c r="H51" s="450"/>
      <c r="I51" s="450"/>
      <c r="J51" s="439"/>
      <c r="K51" s="367"/>
      <c r="L51" s="173"/>
      <c r="M51" s="188"/>
    </row>
    <row r="52" spans="1:18" s="173" customFormat="1" ht="16.5" customHeight="1" x14ac:dyDescent="0.2">
      <c r="B52" s="178" t="s">
        <v>211</v>
      </c>
      <c r="C52" s="430">
        <v>382</v>
      </c>
      <c r="D52" s="431"/>
      <c r="E52" s="190">
        <v>51</v>
      </c>
      <c r="F52" s="394">
        <f t="shared" ref="F52:F55" si="6">IF(E52&lt;&gt;"",ROUND(E52/$C52,3),"")</f>
        <v>0.13400000000000001</v>
      </c>
      <c r="G52" s="190">
        <v>0</v>
      </c>
      <c r="H52" s="394">
        <f t="shared" ref="H52:H55" si="7">IF(G52&lt;&gt;"",ROUND(G52/$C52,3),"")</f>
        <v>0</v>
      </c>
      <c r="I52" s="190">
        <v>0</v>
      </c>
      <c r="J52" s="394">
        <f t="shared" ref="J52:J55" si="8">IF(I52&lt;&gt;"",ROUND(I52/$C52,3),"")</f>
        <v>0</v>
      </c>
      <c r="K52" s="183"/>
      <c r="L52" s="173">
        <v>9</v>
      </c>
    </row>
    <row r="53" spans="1:18" s="173" customFormat="1" ht="16.5" customHeight="1" x14ac:dyDescent="0.2">
      <c r="B53" s="178" t="s">
        <v>212</v>
      </c>
      <c r="C53" s="430">
        <v>398</v>
      </c>
      <c r="D53" s="431"/>
      <c r="E53" s="190">
        <v>28</v>
      </c>
      <c r="F53" s="394">
        <f t="shared" si="6"/>
        <v>7.0000000000000007E-2</v>
      </c>
      <c r="G53" s="190">
        <v>0</v>
      </c>
      <c r="H53" s="394">
        <f t="shared" si="7"/>
        <v>0</v>
      </c>
      <c r="I53" s="190">
        <v>1</v>
      </c>
      <c r="J53" s="394">
        <f t="shared" si="8"/>
        <v>3.0000000000000001E-3</v>
      </c>
      <c r="K53" s="183"/>
      <c r="L53" s="173">
        <v>10</v>
      </c>
      <c r="Q53" s="373"/>
      <c r="R53" s="373"/>
    </row>
    <row r="54" spans="1:18" s="173" customFormat="1" ht="16.5" customHeight="1" x14ac:dyDescent="0.2">
      <c r="B54" s="178" t="s">
        <v>213</v>
      </c>
      <c r="C54" s="430">
        <v>381</v>
      </c>
      <c r="D54" s="431"/>
      <c r="E54" s="190">
        <v>55</v>
      </c>
      <c r="F54" s="394">
        <f t="shared" si="6"/>
        <v>0.14399999999999999</v>
      </c>
      <c r="G54" s="190">
        <v>1</v>
      </c>
      <c r="H54" s="394">
        <f t="shared" si="7"/>
        <v>3.0000000000000001E-3</v>
      </c>
      <c r="I54" s="190">
        <v>5</v>
      </c>
      <c r="J54" s="394">
        <f>IF(I54&lt;&gt;"",ROUND(I54/$C54,3),"")</f>
        <v>1.2999999999999999E-2</v>
      </c>
      <c r="K54" s="183"/>
      <c r="L54" s="173">
        <v>11</v>
      </c>
      <c r="Q54" s="373"/>
      <c r="R54" s="373"/>
    </row>
    <row r="55" spans="1:18" s="173" customFormat="1" ht="16.5" customHeight="1" x14ac:dyDescent="0.2">
      <c r="B55" s="178" t="s">
        <v>214</v>
      </c>
      <c r="C55" s="430">
        <v>321</v>
      </c>
      <c r="D55" s="431"/>
      <c r="E55" s="190">
        <v>16</v>
      </c>
      <c r="F55" s="394">
        <f t="shared" si="6"/>
        <v>0.05</v>
      </c>
      <c r="G55" s="190">
        <v>5</v>
      </c>
      <c r="H55" s="394">
        <f t="shared" si="7"/>
        <v>1.6E-2</v>
      </c>
      <c r="I55" s="190">
        <v>4</v>
      </c>
      <c r="J55" s="394">
        <f t="shared" si="8"/>
        <v>1.2E-2</v>
      </c>
      <c r="K55" s="183"/>
      <c r="L55" s="173">
        <v>12</v>
      </c>
      <c r="Q55" s="373"/>
      <c r="R55" s="373"/>
    </row>
    <row r="56" spans="1:18" s="173" customFormat="1" ht="16.5" customHeight="1" x14ac:dyDescent="0.2">
      <c r="B56" s="178" t="s">
        <v>201</v>
      </c>
      <c r="C56" s="432">
        <v>260</v>
      </c>
      <c r="D56" s="433"/>
      <c r="E56" s="199">
        <v>24</v>
      </c>
      <c r="F56" s="394">
        <f>IF(E56&lt;&gt;"",ROUND(E56/$C56,3),"")</f>
        <v>9.1999999999999998E-2</v>
      </c>
      <c r="G56" s="199">
        <v>5</v>
      </c>
      <c r="H56" s="394">
        <f>IF(G56&lt;&gt;"",ROUND(G56/$C56,3),"")</f>
        <v>1.9E-2</v>
      </c>
      <c r="I56" s="199">
        <v>2</v>
      </c>
      <c r="J56" s="394">
        <f>IF(I56&lt;&gt;"",ROUND(I56/$C56,3),"")</f>
        <v>8.0000000000000002E-3</v>
      </c>
      <c r="K56" s="183"/>
      <c r="Q56" s="373"/>
      <c r="R56" s="373"/>
    </row>
    <row r="57" spans="1:18" s="112" customFormat="1" ht="20.25" customHeight="1" x14ac:dyDescent="0.2">
      <c r="A57" s="187"/>
      <c r="B57" s="454" t="s">
        <v>210</v>
      </c>
      <c r="C57" s="454"/>
      <c r="D57" s="454"/>
      <c r="E57" s="454"/>
      <c r="F57" s="454"/>
      <c r="G57" s="454"/>
      <c r="H57" s="454"/>
      <c r="I57" s="454"/>
      <c r="J57" s="439"/>
      <c r="K57" s="367"/>
      <c r="L57" s="173"/>
      <c r="M57" s="188"/>
      <c r="Q57" s="373"/>
      <c r="R57" s="373"/>
    </row>
    <row r="58" spans="1:18" s="112" customFormat="1" ht="16.5" customHeight="1" x14ac:dyDescent="0.2">
      <c r="A58" s="187"/>
      <c r="B58" s="205" t="s">
        <v>201</v>
      </c>
      <c r="C58" s="432">
        <v>0</v>
      </c>
      <c r="D58" s="433"/>
      <c r="E58" s="199">
        <v>0</v>
      </c>
      <c r="F58" s="394" t="e">
        <f>IF(E58&lt;&gt;"",ROUND(E58/$C58,3),"")</f>
        <v>#DIV/0!</v>
      </c>
      <c r="G58" s="199">
        <v>0</v>
      </c>
      <c r="H58" s="394" t="e">
        <f>IF(G58&lt;&gt;"",ROUND(G58/$C58,3),"")</f>
        <v>#DIV/0!</v>
      </c>
      <c r="I58" s="199">
        <v>0</v>
      </c>
      <c r="J58" s="394" t="e">
        <f>IF(I58&lt;&gt;"",ROUND(I58/$C58,3),"")</f>
        <v>#DIV/0!</v>
      </c>
      <c r="K58" s="367"/>
      <c r="L58" s="173"/>
      <c r="M58" s="188"/>
      <c r="Q58" s="373"/>
      <c r="R58" s="373"/>
    </row>
    <row r="59" spans="1:18" s="112" customFormat="1" ht="20.25" customHeight="1" x14ac:dyDescent="0.2">
      <c r="A59" s="187"/>
      <c r="B59" s="455" t="s">
        <v>26</v>
      </c>
      <c r="C59" s="456"/>
      <c r="D59" s="456"/>
      <c r="E59" s="456"/>
      <c r="F59" s="456"/>
      <c r="G59" s="456"/>
      <c r="H59" s="456"/>
      <c r="I59" s="456"/>
      <c r="J59" s="439"/>
      <c r="K59" s="367"/>
      <c r="L59" s="173"/>
      <c r="M59" s="188"/>
      <c r="Q59" s="373"/>
      <c r="R59" s="373"/>
    </row>
    <row r="60" spans="1:18" s="173" customFormat="1" ht="16.5" customHeight="1" x14ac:dyDescent="0.2">
      <c r="B60" s="194" t="s">
        <v>168</v>
      </c>
      <c r="C60" s="430" t="s">
        <v>118</v>
      </c>
      <c r="D60" s="431"/>
      <c r="E60" s="190" t="s">
        <v>118</v>
      </c>
      <c r="F60" s="394" t="str">
        <f t="shared" ref="F60:F63" si="9">IF(E60&lt;&gt;"",ROUND(E60/$C60,3),"")</f>
        <v/>
      </c>
      <c r="G60" s="190" t="s">
        <v>118</v>
      </c>
      <c r="H60" s="394" t="str">
        <f t="shared" ref="H60:H63" si="10">IF(G60&lt;&gt;"",ROUND(G60/$C60,3),"")</f>
        <v/>
      </c>
      <c r="I60" s="190" t="s">
        <v>118</v>
      </c>
      <c r="J60" s="394" t="str">
        <f t="shared" ref="J60:J63" si="11">IF(I60&lt;&gt;"",ROUND(I60/$C60,3),"")</f>
        <v/>
      </c>
      <c r="K60" s="183"/>
      <c r="L60" s="173">
        <v>13</v>
      </c>
      <c r="Q60" s="373"/>
      <c r="R60" s="373"/>
    </row>
    <row r="61" spans="1:18" s="173" customFormat="1" ht="16.5" customHeight="1" x14ac:dyDescent="0.2">
      <c r="B61" s="194" t="s">
        <v>59</v>
      </c>
      <c r="C61" s="430" t="s">
        <v>118</v>
      </c>
      <c r="D61" s="431"/>
      <c r="E61" s="190" t="s">
        <v>118</v>
      </c>
      <c r="F61" s="394" t="str">
        <f t="shared" si="9"/>
        <v/>
      </c>
      <c r="G61" s="190" t="s">
        <v>118</v>
      </c>
      <c r="H61" s="394" t="str">
        <f t="shared" si="10"/>
        <v/>
      </c>
      <c r="I61" s="190" t="s">
        <v>118</v>
      </c>
      <c r="J61" s="394" t="str">
        <f t="shared" si="11"/>
        <v/>
      </c>
      <c r="K61" s="183"/>
      <c r="L61" s="173">
        <v>14</v>
      </c>
      <c r="Q61" s="373"/>
      <c r="R61" s="373"/>
    </row>
    <row r="62" spans="1:18" s="173" customFormat="1" ht="16.5" customHeight="1" x14ac:dyDescent="0.2">
      <c r="B62" s="194" t="s">
        <v>125</v>
      </c>
      <c r="C62" s="430" t="s">
        <v>118</v>
      </c>
      <c r="D62" s="431"/>
      <c r="E62" s="190" t="s">
        <v>118</v>
      </c>
      <c r="F62" s="394" t="str">
        <f t="shared" si="9"/>
        <v/>
      </c>
      <c r="G62" s="190" t="s">
        <v>118</v>
      </c>
      <c r="H62" s="394" t="str">
        <f t="shared" si="10"/>
        <v/>
      </c>
      <c r="I62" s="190" t="s">
        <v>118</v>
      </c>
      <c r="J62" s="394" t="str">
        <f t="shared" si="11"/>
        <v/>
      </c>
      <c r="K62" s="183"/>
      <c r="L62" s="173">
        <v>15</v>
      </c>
      <c r="Q62" s="373"/>
      <c r="R62" s="373"/>
    </row>
    <row r="63" spans="1:18" s="173" customFormat="1" ht="16.5" customHeight="1" x14ac:dyDescent="0.2">
      <c r="B63" s="194" t="s">
        <v>163</v>
      </c>
      <c r="C63" s="430" t="s">
        <v>118</v>
      </c>
      <c r="D63" s="431"/>
      <c r="E63" s="190" t="s">
        <v>118</v>
      </c>
      <c r="F63" s="394" t="str">
        <f t="shared" si="9"/>
        <v/>
      </c>
      <c r="G63" s="190" t="s">
        <v>118</v>
      </c>
      <c r="H63" s="394" t="str">
        <f t="shared" si="10"/>
        <v/>
      </c>
      <c r="I63" s="190" t="s">
        <v>118</v>
      </c>
      <c r="J63" s="394" t="str">
        <f t="shared" si="11"/>
        <v/>
      </c>
      <c r="K63" s="183"/>
      <c r="L63" s="173">
        <v>16</v>
      </c>
      <c r="Q63" s="373"/>
      <c r="R63" s="373"/>
    </row>
    <row r="64" spans="1:18" s="173" customFormat="1" ht="16.5" customHeight="1" x14ac:dyDescent="0.2">
      <c r="B64" s="194" t="s">
        <v>201</v>
      </c>
      <c r="C64" s="432">
        <v>0</v>
      </c>
      <c r="D64" s="433"/>
      <c r="E64" s="199">
        <v>0</v>
      </c>
      <c r="F64" s="394" t="e">
        <f>IF(E64&lt;&gt;"",ROUND(E64/$C64,3),"")</f>
        <v>#DIV/0!</v>
      </c>
      <c r="G64" s="199">
        <v>0</v>
      </c>
      <c r="H64" s="394" t="e">
        <f>IF(G64&lt;&gt;"",ROUND(G64/$C64,3),"")</f>
        <v>#DIV/0!</v>
      </c>
      <c r="I64" s="199">
        <v>0</v>
      </c>
      <c r="J64" s="394" t="e">
        <f>IF(I64&lt;&gt;"",ROUND(I64/$C64,3),"")</f>
        <v>#DIV/0!</v>
      </c>
      <c r="K64" s="183"/>
      <c r="Q64" s="373"/>
      <c r="R64" s="373"/>
    </row>
    <row r="65" spans="1:18" s="112" customFormat="1" ht="20.25" customHeight="1" x14ac:dyDescent="0.2">
      <c r="A65" s="187"/>
      <c r="B65" s="442" t="s">
        <v>25</v>
      </c>
      <c r="C65" s="443"/>
      <c r="D65" s="443"/>
      <c r="E65" s="443"/>
      <c r="F65" s="443"/>
      <c r="G65" s="443"/>
      <c r="H65" s="443"/>
      <c r="I65" s="443"/>
      <c r="J65" s="439"/>
      <c r="K65" s="367"/>
      <c r="L65" s="173"/>
      <c r="M65" s="188"/>
      <c r="Q65" s="373"/>
      <c r="R65" s="373"/>
    </row>
    <row r="66" spans="1:18" s="173" customFormat="1" ht="16.5" customHeight="1" x14ac:dyDescent="0.2">
      <c r="B66" s="204" t="s">
        <v>168</v>
      </c>
      <c r="C66" s="430" t="s">
        <v>118</v>
      </c>
      <c r="D66" s="431"/>
      <c r="E66" s="190" t="s">
        <v>118</v>
      </c>
      <c r="F66" s="394" t="str">
        <f t="shared" ref="F66:F69" si="12">IF(E66&lt;&gt;"",ROUND(E66/$C66,3),"")</f>
        <v/>
      </c>
      <c r="G66" s="190" t="s">
        <v>118</v>
      </c>
      <c r="H66" s="394" t="str">
        <f t="shared" ref="H66:H69" si="13">IF(G66&lt;&gt;"",ROUND(G66/$C66,3),"")</f>
        <v/>
      </c>
      <c r="I66" s="190" t="s">
        <v>118</v>
      </c>
      <c r="J66" s="394" t="str">
        <f t="shared" ref="J66:J69" si="14">IF(I66&lt;&gt;"",ROUND(I66/$C66,3),"")</f>
        <v/>
      </c>
      <c r="K66" s="183"/>
      <c r="L66" s="173">
        <v>17</v>
      </c>
      <c r="Q66" s="373"/>
      <c r="R66" s="373"/>
    </row>
    <row r="67" spans="1:18" s="173" customFormat="1" ht="16.5" customHeight="1" x14ac:dyDescent="0.2">
      <c r="B67" s="204" t="s">
        <v>59</v>
      </c>
      <c r="C67" s="430" t="s">
        <v>118</v>
      </c>
      <c r="D67" s="431"/>
      <c r="E67" s="190" t="s">
        <v>118</v>
      </c>
      <c r="F67" s="394" t="str">
        <f t="shared" si="12"/>
        <v/>
      </c>
      <c r="G67" s="190" t="s">
        <v>118</v>
      </c>
      <c r="H67" s="394" t="str">
        <f t="shared" si="13"/>
        <v/>
      </c>
      <c r="I67" s="190" t="s">
        <v>118</v>
      </c>
      <c r="J67" s="394" t="str">
        <f t="shared" si="14"/>
        <v/>
      </c>
      <c r="K67" s="183"/>
      <c r="L67" s="173">
        <v>18</v>
      </c>
      <c r="Q67" s="373"/>
      <c r="R67" s="373"/>
    </row>
    <row r="68" spans="1:18" s="173" customFormat="1" ht="16.5" customHeight="1" x14ac:dyDescent="0.2">
      <c r="B68" s="204" t="s">
        <v>125</v>
      </c>
      <c r="C68" s="430" t="s">
        <v>118</v>
      </c>
      <c r="D68" s="431"/>
      <c r="E68" s="190" t="s">
        <v>118</v>
      </c>
      <c r="F68" s="394" t="str">
        <f t="shared" si="12"/>
        <v/>
      </c>
      <c r="G68" s="190" t="s">
        <v>118</v>
      </c>
      <c r="H68" s="394" t="str">
        <f t="shared" si="13"/>
        <v/>
      </c>
      <c r="I68" s="190" t="s">
        <v>118</v>
      </c>
      <c r="J68" s="394" t="str">
        <f t="shared" si="14"/>
        <v/>
      </c>
      <c r="K68" s="183"/>
      <c r="L68" s="173">
        <v>19</v>
      </c>
      <c r="Q68" s="373"/>
      <c r="R68" s="373"/>
    </row>
    <row r="69" spans="1:18" s="173" customFormat="1" ht="16.5" customHeight="1" x14ac:dyDescent="0.2">
      <c r="B69" s="204" t="s">
        <v>163</v>
      </c>
      <c r="C69" s="430" t="s">
        <v>118</v>
      </c>
      <c r="D69" s="431"/>
      <c r="E69" s="190" t="s">
        <v>118</v>
      </c>
      <c r="F69" s="394" t="str">
        <f t="shared" si="12"/>
        <v/>
      </c>
      <c r="G69" s="190" t="s">
        <v>118</v>
      </c>
      <c r="H69" s="394" t="str">
        <f t="shared" si="13"/>
        <v/>
      </c>
      <c r="I69" s="190" t="s">
        <v>118</v>
      </c>
      <c r="J69" s="394" t="str">
        <f t="shared" si="14"/>
        <v/>
      </c>
      <c r="K69" s="183"/>
      <c r="L69" s="173">
        <v>20</v>
      </c>
    </row>
    <row r="70" spans="1:18" s="173" customFormat="1" ht="16.5" customHeight="1" x14ac:dyDescent="0.2">
      <c r="B70" s="204" t="s">
        <v>201</v>
      </c>
      <c r="C70" s="432">
        <v>0</v>
      </c>
      <c r="D70" s="433"/>
      <c r="E70" s="199">
        <v>0</v>
      </c>
      <c r="F70" s="394" t="e">
        <f>IF(E70&lt;&gt;"",ROUND(E70/$C70,3),"")</f>
        <v>#DIV/0!</v>
      </c>
      <c r="G70" s="199">
        <v>0</v>
      </c>
      <c r="H70" s="394" t="e">
        <f>IF(G70&lt;&gt;"",ROUND(G70/$C70,3),"")</f>
        <v>#DIV/0!</v>
      </c>
      <c r="I70" s="199">
        <v>0</v>
      </c>
      <c r="J70" s="394" t="e">
        <f>IF(I70&lt;&gt;"",ROUND(I70/$C70,3),"")</f>
        <v>#DIV/0!</v>
      </c>
      <c r="K70" s="183"/>
    </row>
    <row r="71" spans="1:18" s="112" customFormat="1" ht="20.25" customHeight="1" x14ac:dyDescent="0.2">
      <c r="A71" s="187"/>
      <c r="B71" s="440" t="s">
        <v>124</v>
      </c>
      <c r="C71" s="441"/>
      <c r="D71" s="441"/>
      <c r="E71" s="441"/>
      <c r="F71" s="441"/>
      <c r="G71" s="441"/>
      <c r="H71" s="441"/>
      <c r="I71" s="441"/>
      <c r="J71" s="439"/>
      <c r="K71" s="367"/>
      <c r="L71" s="173"/>
      <c r="M71" s="188"/>
    </row>
    <row r="72" spans="1:18" s="173" customFormat="1" ht="16.5" customHeight="1" x14ac:dyDescent="0.2">
      <c r="B72" s="203" t="s">
        <v>168</v>
      </c>
      <c r="C72" s="430" t="s">
        <v>118</v>
      </c>
      <c r="D72" s="431"/>
      <c r="E72" s="190" t="s">
        <v>118</v>
      </c>
      <c r="F72" s="394" t="str">
        <f t="shared" ref="F72:F75" si="15">IF(E72&lt;&gt;"",ROUND(E72/$C72,3),"")</f>
        <v/>
      </c>
      <c r="G72" s="190" t="s">
        <v>118</v>
      </c>
      <c r="H72" s="394" t="str">
        <f t="shared" ref="H72:H75" si="16">IF(G72&lt;&gt;"",ROUND(G72/$C72,3),"")</f>
        <v/>
      </c>
      <c r="I72" s="190" t="s">
        <v>118</v>
      </c>
      <c r="J72" s="394" t="str">
        <f t="shared" ref="J72:J75" si="17">IF(I72&lt;&gt;"",ROUND(I72/$C72,3),"")</f>
        <v/>
      </c>
      <c r="K72" s="183"/>
      <c r="L72" s="173">
        <v>21</v>
      </c>
    </row>
    <row r="73" spans="1:18" s="173" customFormat="1" ht="16.5" customHeight="1" x14ac:dyDescent="0.2">
      <c r="B73" s="203" t="s">
        <v>59</v>
      </c>
      <c r="C73" s="430" t="s">
        <v>118</v>
      </c>
      <c r="D73" s="431"/>
      <c r="E73" s="190" t="s">
        <v>118</v>
      </c>
      <c r="F73" s="394" t="str">
        <f t="shared" si="15"/>
        <v/>
      </c>
      <c r="G73" s="190" t="s">
        <v>118</v>
      </c>
      <c r="H73" s="394" t="str">
        <f t="shared" si="16"/>
        <v/>
      </c>
      <c r="I73" s="190" t="s">
        <v>118</v>
      </c>
      <c r="J73" s="394" t="str">
        <f t="shared" si="17"/>
        <v/>
      </c>
      <c r="K73" s="183"/>
      <c r="L73" s="173">
        <v>22</v>
      </c>
    </row>
    <row r="74" spans="1:18" s="173" customFormat="1" ht="16.5" customHeight="1" x14ac:dyDescent="0.2">
      <c r="B74" s="203" t="s">
        <v>125</v>
      </c>
      <c r="C74" s="430" t="s">
        <v>118</v>
      </c>
      <c r="D74" s="431"/>
      <c r="E74" s="190" t="s">
        <v>118</v>
      </c>
      <c r="F74" s="394" t="str">
        <f t="shared" si="15"/>
        <v/>
      </c>
      <c r="G74" s="190" t="s">
        <v>118</v>
      </c>
      <c r="H74" s="394" t="str">
        <f t="shared" si="16"/>
        <v/>
      </c>
      <c r="I74" s="190" t="s">
        <v>118</v>
      </c>
      <c r="J74" s="394" t="str">
        <f t="shared" si="17"/>
        <v/>
      </c>
      <c r="K74" s="183"/>
      <c r="L74" s="173">
        <v>23</v>
      </c>
    </row>
    <row r="75" spans="1:18" s="173" customFormat="1" ht="16.5" customHeight="1" x14ac:dyDescent="0.2">
      <c r="B75" s="203" t="s">
        <v>163</v>
      </c>
      <c r="C75" s="430" t="s">
        <v>118</v>
      </c>
      <c r="D75" s="431"/>
      <c r="E75" s="190" t="s">
        <v>118</v>
      </c>
      <c r="F75" s="394" t="str">
        <f t="shared" si="15"/>
        <v/>
      </c>
      <c r="G75" s="190" t="s">
        <v>118</v>
      </c>
      <c r="H75" s="394" t="str">
        <f t="shared" si="16"/>
        <v/>
      </c>
      <c r="I75" s="190" t="s">
        <v>118</v>
      </c>
      <c r="J75" s="394" t="str">
        <f t="shared" si="17"/>
        <v/>
      </c>
      <c r="K75" s="183"/>
      <c r="L75" s="173">
        <v>24</v>
      </c>
    </row>
    <row r="76" spans="1:18" s="173" customFormat="1" ht="16.5" customHeight="1" x14ac:dyDescent="0.2">
      <c r="B76" s="203" t="s">
        <v>201</v>
      </c>
      <c r="C76" s="432">
        <v>0</v>
      </c>
      <c r="D76" s="433"/>
      <c r="E76" s="199">
        <v>0</v>
      </c>
      <c r="F76" s="394" t="e">
        <f>IF(E76&lt;&gt;"",ROUND(E76/$C76,3),"")</f>
        <v>#DIV/0!</v>
      </c>
      <c r="G76" s="199">
        <v>0</v>
      </c>
      <c r="H76" s="394" t="e">
        <f>IF(G76&lt;&gt;"",ROUND(G76/$C76,3),"")</f>
        <v>#DIV/0!</v>
      </c>
      <c r="I76" s="199">
        <v>0</v>
      </c>
      <c r="J76" s="394" t="e">
        <f>IF(I76&lt;&gt;"",ROUND(I76/$C76,3),"")</f>
        <v>#DIV/0!</v>
      </c>
      <c r="K76" s="183"/>
    </row>
    <row r="77" spans="1:18" s="112" customFormat="1" ht="20.25" customHeight="1" x14ac:dyDescent="0.2">
      <c r="A77" s="187"/>
      <c r="B77" s="438" t="s">
        <v>268</v>
      </c>
      <c r="C77" s="438"/>
      <c r="D77" s="438"/>
      <c r="E77" s="438"/>
      <c r="F77" s="438"/>
      <c r="G77" s="438"/>
      <c r="H77" s="438"/>
      <c r="I77" s="438"/>
      <c r="J77" s="439"/>
      <c r="K77" s="367"/>
      <c r="L77" s="173"/>
      <c r="M77" s="188"/>
    </row>
    <row r="78" spans="1:18" s="112" customFormat="1" ht="16.5" customHeight="1" x14ac:dyDescent="0.2">
      <c r="A78" s="187"/>
      <c r="B78" s="196" t="s">
        <v>201</v>
      </c>
      <c r="C78" s="432">
        <v>0</v>
      </c>
      <c r="D78" s="433"/>
      <c r="E78" s="199">
        <v>0</v>
      </c>
      <c r="F78" s="394" t="e">
        <f>IF(E78&lt;&gt;"",ROUND(E78/$C78,3),"")</f>
        <v>#DIV/0!</v>
      </c>
      <c r="G78" s="199">
        <v>0</v>
      </c>
      <c r="H78" s="394" t="e">
        <f>IF(G78&lt;&gt;"",ROUND(G78/$C78,3),"")</f>
        <v>#DIV/0!</v>
      </c>
      <c r="I78" s="199">
        <v>0</v>
      </c>
      <c r="J78" s="394" t="e">
        <f>IF(I78&lt;&gt;"",ROUND(I78/$C78,3),"")</f>
        <v>#DIV/0!</v>
      </c>
      <c r="K78" s="367"/>
      <c r="L78" s="173"/>
      <c r="M78" s="188"/>
    </row>
    <row r="79" spans="1:18" s="112" customFormat="1" ht="16.5" customHeight="1" x14ac:dyDescent="0.2">
      <c r="A79" s="187"/>
      <c r="B79" s="200" t="s">
        <v>272</v>
      </c>
      <c r="C79" s="457">
        <f>IF(SUM(C56,C58,C64,C70,C76,C78)&gt;0,SUM(C56,C58,C64,C70,C76,C78),"")</f>
        <v>260</v>
      </c>
      <c r="D79" s="457"/>
      <c r="E79" s="201">
        <f>IF(SUM(E56,E58,E64,E70,E76,E78)&gt;0,SUM(E56,E58,E64,E70,E76,E78),"")</f>
        <v>24</v>
      </c>
      <c r="F79" s="394">
        <f>IF(E79&lt;&gt;"",ROUND(E79/$C79,3),"")</f>
        <v>9.1999999999999998E-2</v>
      </c>
      <c r="G79" s="201">
        <f>IF(SUM(G56,G58,G64,G70,G76,G78)&gt;0,SUM(G56,G58,G64,G70,G76,G78),"")</f>
        <v>5</v>
      </c>
      <c r="H79" s="394">
        <f>IF(G79&lt;&gt;"",ROUND(G79/$C79,3),"")</f>
        <v>1.9E-2</v>
      </c>
      <c r="I79" s="201">
        <f>IF(SUM(I56,I58,I64,I70,I76,I78)&gt;0,SUM(I56,I58,I64,I70,I76,I78),"")</f>
        <v>2</v>
      </c>
      <c r="J79" s="394">
        <f>IF(I79&lt;&gt;"",ROUND(I79/$C79,3),"")</f>
        <v>8.0000000000000002E-3</v>
      </c>
      <c r="K79" s="367"/>
      <c r="L79" s="173"/>
      <c r="M79" s="188"/>
    </row>
    <row r="80" spans="1:18" s="40" customFormat="1" ht="132" customHeight="1" x14ac:dyDescent="0.2">
      <c r="A80" s="436" t="s">
        <v>326</v>
      </c>
      <c r="B80" s="437"/>
      <c r="C80" s="437"/>
      <c r="D80" s="437"/>
      <c r="E80" s="437"/>
      <c r="F80" s="437"/>
      <c r="G80" s="437"/>
      <c r="H80" s="437"/>
      <c r="I80" s="437"/>
      <c r="J80" s="437"/>
      <c r="K80" s="437"/>
    </row>
    <row r="81" spans="1:17" s="40" customFormat="1" ht="14.25" customHeight="1" x14ac:dyDescent="0.2">
      <c r="A81" s="186"/>
      <c r="B81" s="169"/>
      <c r="C81" s="169"/>
      <c r="D81" s="169"/>
      <c r="E81" s="169"/>
      <c r="F81" s="169"/>
      <c r="G81" s="169"/>
      <c r="H81" s="169"/>
      <c r="I81" s="169"/>
      <c r="J81" s="169"/>
      <c r="K81" s="368"/>
    </row>
    <row r="82" spans="1:17" s="14" customFormat="1" ht="15.75" customHeight="1" x14ac:dyDescent="0.2">
      <c r="A82" s="6" t="s">
        <v>343</v>
      </c>
      <c r="K82" s="369"/>
      <c r="L82" s="40"/>
    </row>
    <row r="83" spans="1:17" customFormat="1" ht="49.5" customHeight="1" x14ac:dyDescent="0.2">
      <c r="A83" s="458" t="s">
        <v>371</v>
      </c>
      <c r="B83" s="459"/>
      <c r="C83" s="459"/>
      <c r="D83" s="459"/>
      <c r="E83" s="459"/>
      <c r="F83" s="459"/>
      <c r="G83" s="459"/>
      <c r="H83" s="459"/>
      <c r="I83" s="459"/>
      <c r="J83" s="459"/>
      <c r="K83" s="460"/>
      <c r="L83" s="40"/>
    </row>
    <row r="84" spans="1:17" ht="11.25" customHeight="1" x14ac:dyDescent="0.2">
      <c r="A84" s="41"/>
      <c r="B84" s="80"/>
      <c r="C84" s="80"/>
      <c r="D84" s="167"/>
      <c r="E84" s="80"/>
      <c r="F84" s="167"/>
      <c r="G84" s="80"/>
      <c r="H84" s="167"/>
      <c r="I84" s="80"/>
      <c r="J84" s="167"/>
      <c r="M84" s="52"/>
    </row>
    <row r="85" spans="1:17" s="40" customFormat="1" ht="18" customHeight="1" x14ac:dyDescent="0.2">
      <c r="A85" s="465" t="s">
        <v>127</v>
      </c>
      <c r="B85" s="466"/>
      <c r="C85" s="466"/>
      <c r="D85" s="466"/>
      <c r="E85" s="466"/>
      <c r="F85" s="466"/>
      <c r="G85" s="466"/>
      <c r="H85" s="466"/>
      <c r="I85" s="466"/>
      <c r="J85" s="466"/>
      <c r="K85" s="466"/>
      <c r="M85" s="50"/>
    </row>
    <row r="86" spans="1:17" s="40" customFormat="1" ht="18" customHeight="1" x14ac:dyDescent="0.2">
      <c r="A86" s="80"/>
      <c r="B86" s="80"/>
      <c r="C86" s="80"/>
      <c r="D86" s="167"/>
      <c r="E86" s="80"/>
      <c r="F86" s="167"/>
      <c r="G86" s="80"/>
      <c r="H86" s="167"/>
      <c r="I86" s="80"/>
      <c r="J86" s="167"/>
      <c r="K86" s="39"/>
      <c r="M86" s="50"/>
    </row>
    <row r="87" spans="1:17" s="173" customFormat="1" ht="15" customHeight="1" x14ac:dyDescent="0.2">
      <c r="A87" s="172"/>
      <c r="B87" s="172"/>
      <c r="C87" s="446" t="s">
        <v>257</v>
      </c>
      <c r="D87" s="446"/>
      <c r="E87" s="446"/>
      <c r="F87" s="446"/>
      <c r="G87" s="446"/>
      <c r="H87" s="446"/>
      <c r="I87" s="446"/>
      <c r="J87" s="439"/>
    </row>
    <row r="88" spans="1:17" s="172" customFormat="1" ht="39.75" customHeight="1" x14ac:dyDescent="0.2">
      <c r="B88" s="446" t="s">
        <v>48</v>
      </c>
      <c r="C88" s="446" t="s">
        <v>258</v>
      </c>
      <c r="D88" s="439"/>
      <c r="E88" s="446" t="s">
        <v>259</v>
      </c>
      <c r="F88" s="439"/>
      <c r="G88" s="446" t="s">
        <v>271</v>
      </c>
      <c r="H88" s="439"/>
      <c r="I88" s="446" t="s">
        <v>260</v>
      </c>
      <c r="J88" s="439"/>
      <c r="K88" s="173"/>
      <c r="L88" s="173"/>
    </row>
    <row r="89" spans="1:17" s="172" customFormat="1" ht="14.25" customHeight="1" x14ac:dyDescent="0.2">
      <c r="B89" s="439"/>
      <c r="C89" s="444" t="s">
        <v>21</v>
      </c>
      <c r="D89" s="445"/>
      <c r="E89" s="177" t="s">
        <v>21</v>
      </c>
      <c r="F89" s="177" t="s">
        <v>22</v>
      </c>
      <c r="G89" s="177" t="s">
        <v>21</v>
      </c>
      <c r="H89" s="177" t="s">
        <v>22</v>
      </c>
      <c r="I89" s="177" t="s">
        <v>21</v>
      </c>
      <c r="J89" s="177" t="s">
        <v>22</v>
      </c>
      <c r="K89" s="173"/>
      <c r="L89" s="173"/>
    </row>
    <row r="90" spans="1:17" s="112" customFormat="1" ht="20.25" customHeight="1" x14ac:dyDescent="0.2">
      <c r="A90" s="187"/>
      <c r="B90" s="449" t="s">
        <v>215</v>
      </c>
      <c r="C90" s="450"/>
      <c r="D90" s="450"/>
      <c r="E90" s="450"/>
      <c r="F90" s="450"/>
      <c r="G90" s="450"/>
      <c r="H90" s="450"/>
      <c r="I90" s="450"/>
      <c r="J90" s="439"/>
      <c r="K90" s="367"/>
      <c r="L90" s="173"/>
      <c r="M90" s="188"/>
      <c r="P90" s="373"/>
      <c r="Q90" s="373"/>
    </row>
    <row r="91" spans="1:17" s="173" customFormat="1" ht="16.5" customHeight="1" x14ac:dyDescent="0.2">
      <c r="B91" s="178" t="s">
        <v>211</v>
      </c>
      <c r="C91" s="430">
        <v>308</v>
      </c>
      <c r="D91" s="431"/>
      <c r="E91" s="190">
        <v>47</v>
      </c>
      <c r="F91" s="394">
        <f t="shared" ref="F91:F94" si="18">IF(E91&lt;&gt;"",ROUND(E91/$C91,3),"")</f>
        <v>0.153</v>
      </c>
      <c r="G91" s="190">
        <v>1</v>
      </c>
      <c r="H91" s="394">
        <f t="shared" ref="H91:H94" si="19">IF(G91&lt;&gt;"",ROUND(G91/$C91,3),"")</f>
        <v>3.0000000000000001E-3</v>
      </c>
      <c r="I91" s="190">
        <v>0</v>
      </c>
      <c r="J91" s="394">
        <f t="shared" ref="J91:J94" si="20">IF(I91&lt;&gt;"",ROUND(I91/$C91,3),"")</f>
        <v>0</v>
      </c>
      <c r="K91" s="183"/>
      <c r="L91" s="173">
        <v>25</v>
      </c>
      <c r="P91" s="373"/>
      <c r="Q91" s="373"/>
    </row>
    <row r="92" spans="1:17" s="173" customFormat="1" ht="16.5" customHeight="1" x14ac:dyDescent="0.2">
      <c r="B92" s="178" t="s">
        <v>212</v>
      </c>
      <c r="C92" s="430">
        <v>499</v>
      </c>
      <c r="D92" s="431"/>
      <c r="E92" s="190">
        <v>50</v>
      </c>
      <c r="F92" s="394">
        <f t="shared" si="18"/>
        <v>0.1</v>
      </c>
      <c r="G92" s="190">
        <v>0</v>
      </c>
      <c r="H92" s="394">
        <f t="shared" si="19"/>
        <v>0</v>
      </c>
      <c r="I92" s="190">
        <v>4</v>
      </c>
      <c r="J92" s="394">
        <f t="shared" si="20"/>
        <v>8.0000000000000002E-3</v>
      </c>
      <c r="K92" s="183"/>
      <c r="L92" s="173">
        <v>26</v>
      </c>
      <c r="P92" s="373"/>
      <c r="Q92" s="373"/>
    </row>
    <row r="93" spans="1:17" s="173" customFormat="1" ht="16.5" customHeight="1" x14ac:dyDescent="0.2">
      <c r="B93" s="178" t="s">
        <v>213</v>
      </c>
      <c r="C93" s="430">
        <v>494</v>
      </c>
      <c r="D93" s="431"/>
      <c r="E93" s="190">
        <v>52</v>
      </c>
      <c r="F93" s="394">
        <f t="shared" si="18"/>
        <v>0.105</v>
      </c>
      <c r="G93" s="190">
        <v>0</v>
      </c>
      <c r="H93" s="394">
        <f t="shared" si="19"/>
        <v>0</v>
      </c>
      <c r="I93" s="190">
        <v>2</v>
      </c>
      <c r="J93" s="394">
        <f t="shared" si="20"/>
        <v>4.0000000000000001E-3</v>
      </c>
      <c r="K93" s="183"/>
      <c r="L93" s="173">
        <v>27</v>
      </c>
      <c r="P93" s="373"/>
      <c r="Q93" s="373"/>
    </row>
    <row r="94" spans="1:17" s="173" customFormat="1" ht="16.5" customHeight="1" x14ac:dyDescent="0.2">
      <c r="B94" s="178" t="s">
        <v>214</v>
      </c>
      <c r="C94" s="430">
        <v>506</v>
      </c>
      <c r="D94" s="431"/>
      <c r="E94" s="190">
        <v>45</v>
      </c>
      <c r="F94" s="394">
        <f t="shared" si="18"/>
        <v>8.8999999999999996E-2</v>
      </c>
      <c r="G94" s="190">
        <v>2</v>
      </c>
      <c r="H94" s="394">
        <f t="shared" si="19"/>
        <v>4.0000000000000001E-3</v>
      </c>
      <c r="I94" s="190">
        <v>4</v>
      </c>
      <c r="J94" s="394">
        <f t="shared" si="20"/>
        <v>8.0000000000000002E-3</v>
      </c>
      <c r="K94" s="183"/>
      <c r="L94" s="173">
        <v>28</v>
      </c>
      <c r="P94" s="373"/>
      <c r="Q94" s="373"/>
    </row>
    <row r="95" spans="1:17" s="173" customFormat="1" ht="16.5" customHeight="1" x14ac:dyDescent="0.2">
      <c r="B95" s="178" t="s">
        <v>201</v>
      </c>
      <c r="C95" s="432">
        <v>474</v>
      </c>
      <c r="D95" s="433"/>
      <c r="E95" s="199">
        <v>44</v>
      </c>
      <c r="F95" s="394">
        <f>IF(E95&lt;&gt;"",ROUND(E95/$C95,3),"")</f>
        <v>9.2999999999999999E-2</v>
      </c>
      <c r="G95" s="199">
        <v>1</v>
      </c>
      <c r="H95" s="394">
        <f>IF(G95&lt;&gt;"",ROUND(G95/$C95,3),"")</f>
        <v>2E-3</v>
      </c>
      <c r="I95" s="199">
        <v>2</v>
      </c>
      <c r="J95" s="394">
        <f>IF(I95&lt;&gt;"",ROUND(I95/$C95,3),"")</f>
        <v>4.0000000000000001E-3</v>
      </c>
      <c r="K95" s="183"/>
      <c r="P95" s="373"/>
      <c r="Q95" s="373"/>
    </row>
    <row r="96" spans="1:17" s="173" customFormat="1" ht="20.25" customHeight="1" x14ac:dyDescent="0.2">
      <c r="B96" s="454" t="s">
        <v>210</v>
      </c>
      <c r="C96" s="454"/>
      <c r="D96" s="454"/>
      <c r="E96" s="454"/>
      <c r="F96" s="454"/>
      <c r="G96" s="454"/>
      <c r="H96" s="454"/>
      <c r="I96" s="454"/>
      <c r="J96" s="439"/>
      <c r="K96" s="183"/>
      <c r="P96" s="373"/>
      <c r="Q96" s="373"/>
    </row>
    <row r="97" spans="1:17" s="173" customFormat="1" ht="16.5" customHeight="1" x14ac:dyDescent="0.2">
      <c r="B97" s="205" t="s">
        <v>201</v>
      </c>
      <c r="C97" s="432">
        <v>0</v>
      </c>
      <c r="D97" s="433"/>
      <c r="E97" s="199">
        <v>0</v>
      </c>
      <c r="F97" s="394" t="e">
        <f>IF(E97&lt;&gt;"",ROUND(E97/$C97,3),"")</f>
        <v>#DIV/0!</v>
      </c>
      <c r="G97" s="199">
        <v>0</v>
      </c>
      <c r="H97" s="394" t="e">
        <f>IF(G97&lt;&gt;"",ROUND(G97/$C97,3),"")</f>
        <v>#DIV/0!</v>
      </c>
      <c r="I97" s="199">
        <v>0</v>
      </c>
      <c r="J97" s="394" t="e">
        <f>IF(I97&lt;&gt;"",ROUND(I97/$C97,3),"")</f>
        <v>#DIV/0!</v>
      </c>
      <c r="K97" s="183"/>
      <c r="P97" s="373"/>
      <c r="Q97" s="373"/>
    </row>
    <row r="98" spans="1:17" s="112" customFormat="1" ht="20.25" customHeight="1" x14ac:dyDescent="0.2">
      <c r="A98" s="187"/>
      <c r="B98" s="455" t="s">
        <v>26</v>
      </c>
      <c r="C98" s="456"/>
      <c r="D98" s="456"/>
      <c r="E98" s="456"/>
      <c r="F98" s="456"/>
      <c r="G98" s="456"/>
      <c r="H98" s="456"/>
      <c r="I98" s="456"/>
      <c r="J98" s="439"/>
      <c r="K98" s="367"/>
      <c r="L98" s="173"/>
      <c r="M98" s="188"/>
      <c r="P98" s="373"/>
      <c r="Q98" s="373"/>
    </row>
    <row r="99" spans="1:17" s="173" customFormat="1" ht="16.5" customHeight="1" x14ac:dyDescent="0.2">
      <c r="B99" s="194" t="s">
        <v>168</v>
      </c>
      <c r="C99" s="430" t="s">
        <v>118</v>
      </c>
      <c r="D99" s="431"/>
      <c r="E99" s="190" t="s">
        <v>118</v>
      </c>
      <c r="F99" s="394" t="str">
        <f t="shared" ref="F99:F102" si="21">IF(E99&lt;&gt;"",ROUND(E99/$C99,3),"")</f>
        <v/>
      </c>
      <c r="G99" s="190" t="s">
        <v>118</v>
      </c>
      <c r="H99" s="394" t="str">
        <f t="shared" ref="H99:H102" si="22">IF(G99&lt;&gt;"",ROUND(G99/$C99,3),"")</f>
        <v/>
      </c>
      <c r="I99" s="190" t="s">
        <v>118</v>
      </c>
      <c r="J99" s="394" t="str">
        <f t="shared" ref="J99:J102" si="23">IF(I99&lt;&gt;"",ROUND(I99/$C99,3),"")</f>
        <v/>
      </c>
      <c r="K99" s="183"/>
      <c r="L99" s="182">
        <v>29</v>
      </c>
      <c r="P99" s="373"/>
      <c r="Q99" s="373"/>
    </row>
    <row r="100" spans="1:17" s="173" customFormat="1" ht="16.5" customHeight="1" x14ac:dyDescent="0.2">
      <c r="B100" s="194" t="s">
        <v>59</v>
      </c>
      <c r="C100" s="430" t="s">
        <v>118</v>
      </c>
      <c r="D100" s="431"/>
      <c r="E100" s="190" t="s">
        <v>118</v>
      </c>
      <c r="F100" s="394" t="str">
        <f t="shared" si="21"/>
        <v/>
      </c>
      <c r="G100" s="190" t="s">
        <v>118</v>
      </c>
      <c r="H100" s="394" t="str">
        <f t="shared" si="22"/>
        <v/>
      </c>
      <c r="I100" s="190" t="s">
        <v>118</v>
      </c>
      <c r="J100" s="394" t="str">
        <f t="shared" si="23"/>
        <v/>
      </c>
      <c r="K100" s="183"/>
      <c r="L100" s="182">
        <v>30</v>
      </c>
      <c r="P100" s="373"/>
      <c r="Q100" s="373"/>
    </row>
    <row r="101" spans="1:17" s="173" customFormat="1" ht="16.5" customHeight="1" x14ac:dyDescent="0.2">
      <c r="B101" s="194" t="s">
        <v>125</v>
      </c>
      <c r="C101" s="430" t="s">
        <v>118</v>
      </c>
      <c r="D101" s="431"/>
      <c r="E101" s="190" t="s">
        <v>118</v>
      </c>
      <c r="F101" s="394" t="str">
        <f t="shared" si="21"/>
        <v/>
      </c>
      <c r="G101" s="190" t="s">
        <v>118</v>
      </c>
      <c r="H101" s="394" t="str">
        <f t="shared" si="22"/>
        <v/>
      </c>
      <c r="I101" s="190" t="s">
        <v>118</v>
      </c>
      <c r="J101" s="394" t="str">
        <f t="shared" si="23"/>
        <v/>
      </c>
      <c r="K101" s="183"/>
      <c r="L101" s="182">
        <v>31</v>
      </c>
      <c r="P101" s="373"/>
      <c r="Q101" s="373"/>
    </row>
    <row r="102" spans="1:17" s="173" customFormat="1" ht="16.5" customHeight="1" x14ac:dyDescent="0.2">
      <c r="B102" s="194" t="s">
        <v>163</v>
      </c>
      <c r="C102" s="430" t="s">
        <v>118</v>
      </c>
      <c r="D102" s="431"/>
      <c r="E102" s="190" t="s">
        <v>118</v>
      </c>
      <c r="F102" s="394" t="str">
        <f t="shared" si="21"/>
        <v/>
      </c>
      <c r="G102" s="190" t="s">
        <v>118</v>
      </c>
      <c r="H102" s="394" t="str">
        <f t="shared" si="22"/>
        <v/>
      </c>
      <c r="I102" s="190" t="s">
        <v>118</v>
      </c>
      <c r="J102" s="394" t="str">
        <f t="shared" si="23"/>
        <v/>
      </c>
      <c r="K102" s="183"/>
      <c r="L102" s="182">
        <v>32</v>
      </c>
      <c r="P102" s="373"/>
      <c r="Q102" s="373"/>
    </row>
    <row r="103" spans="1:17" s="173" customFormat="1" ht="16.5" customHeight="1" x14ac:dyDescent="0.2">
      <c r="B103" s="194" t="s">
        <v>201</v>
      </c>
      <c r="C103" s="432">
        <v>0</v>
      </c>
      <c r="D103" s="433"/>
      <c r="E103" s="199">
        <v>0</v>
      </c>
      <c r="F103" s="394" t="e">
        <f>IF(E103&lt;&gt;"",ROUND(E103/$C103,3),"")</f>
        <v>#DIV/0!</v>
      </c>
      <c r="G103" s="199">
        <v>0</v>
      </c>
      <c r="H103" s="394" t="e">
        <f>IF(G103&lt;&gt;"",ROUND(G103/$C103,3),"")</f>
        <v>#DIV/0!</v>
      </c>
      <c r="I103" s="199">
        <v>0</v>
      </c>
      <c r="J103" s="394" t="e">
        <f>IF(I103&lt;&gt;"",ROUND(I103/$C103,3),"")</f>
        <v>#DIV/0!</v>
      </c>
      <c r="K103" s="183"/>
      <c r="P103" s="373"/>
      <c r="Q103" s="373"/>
    </row>
    <row r="104" spans="1:17" s="112" customFormat="1" ht="20.25" customHeight="1" x14ac:dyDescent="0.2">
      <c r="A104" s="187"/>
      <c r="B104" s="442" t="s">
        <v>25</v>
      </c>
      <c r="C104" s="443"/>
      <c r="D104" s="443"/>
      <c r="E104" s="443"/>
      <c r="F104" s="443"/>
      <c r="G104" s="443"/>
      <c r="H104" s="443"/>
      <c r="I104" s="443"/>
      <c r="J104" s="439"/>
      <c r="K104" s="367"/>
      <c r="L104" s="173"/>
      <c r="M104" s="188"/>
      <c r="P104" s="373"/>
      <c r="Q104" s="373"/>
    </row>
    <row r="105" spans="1:17" s="173" customFormat="1" ht="16.5" customHeight="1" x14ac:dyDescent="0.2">
      <c r="B105" s="204" t="s">
        <v>168</v>
      </c>
      <c r="C105" s="430">
        <v>28</v>
      </c>
      <c r="D105" s="431"/>
      <c r="E105" s="190">
        <v>0</v>
      </c>
      <c r="F105" s="394">
        <f t="shared" ref="F105:F108" si="24">IF(E105&lt;&gt;"",ROUND(E105/$C105,3),"")</f>
        <v>0</v>
      </c>
      <c r="G105" s="190">
        <v>0</v>
      </c>
      <c r="H105" s="394">
        <f t="shared" ref="H105:H108" si="25">IF(G105&lt;&gt;"",ROUND(G105/$C105,3),"")</f>
        <v>0</v>
      </c>
      <c r="I105" s="190">
        <v>1</v>
      </c>
      <c r="J105" s="394">
        <f t="shared" ref="J105:J108" si="26">IF(I105&lt;&gt;"",ROUND(I105/$C105,3),"")</f>
        <v>3.5999999999999997E-2</v>
      </c>
      <c r="K105" s="183"/>
      <c r="L105" s="182">
        <v>33</v>
      </c>
      <c r="P105" s="373"/>
      <c r="Q105" s="373"/>
    </row>
    <row r="106" spans="1:17" s="173" customFormat="1" ht="16.5" customHeight="1" x14ac:dyDescent="0.2">
      <c r="B106" s="204" t="s">
        <v>59</v>
      </c>
      <c r="C106" s="430">
        <v>27</v>
      </c>
      <c r="D106" s="431"/>
      <c r="E106" s="190">
        <v>5</v>
      </c>
      <c r="F106" s="394">
        <f t="shared" si="24"/>
        <v>0.185</v>
      </c>
      <c r="G106" s="190">
        <v>2</v>
      </c>
      <c r="H106" s="394">
        <f t="shared" si="25"/>
        <v>7.3999999999999996E-2</v>
      </c>
      <c r="I106" s="190">
        <v>0</v>
      </c>
      <c r="J106" s="394">
        <f t="shared" si="26"/>
        <v>0</v>
      </c>
      <c r="K106" s="183"/>
      <c r="L106" s="182">
        <v>34</v>
      </c>
    </row>
    <row r="107" spans="1:17" s="173" customFormat="1" ht="16.5" customHeight="1" x14ac:dyDescent="0.2">
      <c r="B107" s="204" t="s">
        <v>125</v>
      </c>
      <c r="C107" s="430" t="s">
        <v>118</v>
      </c>
      <c r="D107" s="431"/>
      <c r="E107" s="190" t="s">
        <v>118</v>
      </c>
      <c r="F107" s="394" t="str">
        <f t="shared" si="24"/>
        <v/>
      </c>
      <c r="G107" s="190" t="s">
        <v>118</v>
      </c>
      <c r="H107" s="394" t="str">
        <f t="shared" si="25"/>
        <v/>
      </c>
      <c r="I107" s="190" t="s">
        <v>118</v>
      </c>
      <c r="J107" s="394" t="str">
        <f t="shared" si="26"/>
        <v/>
      </c>
      <c r="K107" s="183"/>
      <c r="L107" s="182">
        <v>35</v>
      </c>
    </row>
    <row r="108" spans="1:17" s="173" customFormat="1" ht="16.5" customHeight="1" x14ac:dyDescent="0.2">
      <c r="B108" s="204" t="s">
        <v>163</v>
      </c>
      <c r="C108" s="430" t="s">
        <v>118</v>
      </c>
      <c r="D108" s="431"/>
      <c r="E108" s="190" t="s">
        <v>118</v>
      </c>
      <c r="F108" s="394" t="str">
        <f t="shared" si="24"/>
        <v/>
      </c>
      <c r="G108" s="190" t="s">
        <v>118</v>
      </c>
      <c r="H108" s="394" t="str">
        <f t="shared" si="25"/>
        <v/>
      </c>
      <c r="I108" s="190" t="s">
        <v>118</v>
      </c>
      <c r="J108" s="394" t="str">
        <f t="shared" si="26"/>
        <v/>
      </c>
      <c r="K108" s="183"/>
      <c r="L108" s="182">
        <v>36</v>
      </c>
    </row>
    <row r="109" spans="1:17" s="173" customFormat="1" ht="16.5" customHeight="1" x14ac:dyDescent="0.2">
      <c r="B109" s="204" t="s">
        <v>201</v>
      </c>
      <c r="C109" s="432">
        <v>0</v>
      </c>
      <c r="D109" s="433"/>
      <c r="E109" s="199">
        <v>0</v>
      </c>
      <c r="F109" s="394" t="e">
        <f>IF(E109&lt;&gt;"",ROUND(E109/$C109,3),"")</f>
        <v>#DIV/0!</v>
      </c>
      <c r="G109" s="199">
        <v>0</v>
      </c>
      <c r="H109" s="394" t="e">
        <f>IF(G109&lt;&gt;"",ROUND(G109/$C109,3),"")</f>
        <v>#DIV/0!</v>
      </c>
      <c r="I109" s="199">
        <v>0</v>
      </c>
      <c r="J109" s="394" t="e">
        <f>IF(I109&lt;&gt;"",ROUND(I109/$C109,3),"")</f>
        <v>#DIV/0!</v>
      </c>
      <c r="K109" s="183"/>
    </row>
    <row r="110" spans="1:17" s="112" customFormat="1" ht="20.25" customHeight="1" x14ac:dyDescent="0.2">
      <c r="A110" s="187"/>
      <c r="B110" s="440" t="s">
        <v>124</v>
      </c>
      <c r="C110" s="441"/>
      <c r="D110" s="441"/>
      <c r="E110" s="441"/>
      <c r="F110" s="441"/>
      <c r="G110" s="441"/>
      <c r="H110" s="441"/>
      <c r="I110" s="441"/>
      <c r="J110" s="439"/>
      <c r="K110" s="367"/>
      <c r="L110" s="182"/>
      <c r="M110" s="188"/>
    </row>
    <row r="111" spans="1:17" s="173" customFormat="1" ht="16.5" customHeight="1" x14ac:dyDescent="0.2">
      <c r="B111" s="203" t="s">
        <v>168</v>
      </c>
      <c r="C111" s="430" t="s">
        <v>118</v>
      </c>
      <c r="D111" s="431"/>
      <c r="E111" s="190" t="s">
        <v>118</v>
      </c>
      <c r="F111" s="394" t="str">
        <f t="shared" ref="F111:F114" si="27">IF(E111&lt;&gt;"",ROUND(E111/$C111,3),"")</f>
        <v/>
      </c>
      <c r="G111" s="190" t="s">
        <v>118</v>
      </c>
      <c r="H111" s="394" t="str">
        <f t="shared" ref="H111:H114" si="28">IF(G111&lt;&gt;"",ROUND(G111/$C111,3),"")</f>
        <v/>
      </c>
      <c r="I111" s="190" t="s">
        <v>118</v>
      </c>
      <c r="J111" s="394" t="str">
        <f t="shared" ref="J111:J114" si="29">IF(I111&lt;&gt;"",ROUND(I111/$C111,3),"")</f>
        <v/>
      </c>
      <c r="K111" s="183"/>
      <c r="L111" s="182">
        <v>37</v>
      </c>
    </row>
    <row r="112" spans="1:17" s="173" customFormat="1" ht="16.5" customHeight="1" x14ac:dyDescent="0.2">
      <c r="B112" s="203" t="s">
        <v>59</v>
      </c>
      <c r="C112" s="430" t="s">
        <v>118</v>
      </c>
      <c r="D112" s="431"/>
      <c r="E112" s="190" t="s">
        <v>118</v>
      </c>
      <c r="F112" s="394" t="str">
        <f t="shared" si="27"/>
        <v/>
      </c>
      <c r="G112" s="190" t="s">
        <v>118</v>
      </c>
      <c r="H112" s="394" t="str">
        <f t="shared" si="28"/>
        <v/>
      </c>
      <c r="I112" s="190" t="s">
        <v>118</v>
      </c>
      <c r="J112" s="394" t="str">
        <f t="shared" si="29"/>
        <v/>
      </c>
      <c r="K112" s="183"/>
      <c r="L112" s="182">
        <v>38</v>
      </c>
    </row>
    <row r="113" spans="1:13" s="173" customFormat="1" ht="16.5" customHeight="1" x14ac:dyDescent="0.2">
      <c r="B113" s="203" t="s">
        <v>125</v>
      </c>
      <c r="C113" s="430">
        <v>22</v>
      </c>
      <c r="D113" s="431"/>
      <c r="E113" s="190">
        <v>6</v>
      </c>
      <c r="F113" s="394">
        <f t="shared" si="27"/>
        <v>0.27300000000000002</v>
      </c>
      <c r="G113" s="190">
        <v>0</v>
      </c>
      <c r="H113" s="394">
        <f t="shared" si="28"/>
        <v>0</v>
      </c>
      <c r="I113" s="190">
        <v>0</v>
      </c>
      <c r="J113" s="394">
        <f t="shared" si="29"/>
        <v>0</v>
      </c>
      <c r="K113" s="183"/>
      <c r="L113" s="182">
        <v>39</v>
      </c>
    </row>
    <row r="114" spans="1:13" s="173" customFormat="1" ht="16.5" customHeight="1" x14ac:dyDescent="0.2">
      <c r="B114" s="203" t="s">
        <v>163</v>
      </c>
      <c r="C114" s="430" t="s">
        <v>118</v>
      </c>
      <c r="D114" s="431"/>
      <c r="E114" s="190" t="s">
        <v>118</v>
      </c>
      <c r="F114" s="394" t="str">
        <f t="shared" si="27"/>
        <v/>
      </c>
      <c r="G114" s="190" t="s">
        <v>118</v>
      </c>
      <c r="H114" s="394" t="str">
        <f t="shared" si="28"/>
        <v/>
      </c>
      <c r="I114" s="190" t="s">
        <v>118</v>
      </c>
      <c r="J114" s="394" t="str">
        <f t="shared" si="29"/>
        <v/>
      </c>
      <c r="K114" s="183"/>
      <c r="L114" s="182">
        <v>40</v>
      </c>
    </row>
    <row r="115" spans="1:13" s="173" customFormat="1" ht="16.5" customHeight="1" x14ac:dyDescent="0.2">
      <c r="B115" s="203" t="s">
        <v>201</v>
      </c>
      <c r="C115" s="432">
        <v>19</v>
      </c>
      <c r="D115" s="433"/>
      <c r="E115" s="199">
        <v>7</v>
      </c>
      <c r="F115" s="394">
        <f>IF(E115&lt;&gt;"",ROUND(E115/$C115,3),"")</f>
        <v>0.36799999999999999</v>
      </c>
      <c r="G115" s="199">
        <v>0</v>
      </c>
      <c r="H115" s="394">
        <f>IF(G115&lt;&gt;"",ROUND(G115/$C115,3),"")</f>
        <v>0</v>
      </c>
      <c r="I115" s="199">
        <v>0</v>
      </c>
      <c r="J115" s="394">
        <f>IF(I115&lt;&gt;"",ROUND(I115/$C115,3),"")</f>
        <v>0</v>
      </c>
      <c r="K115" s="183"/>
    </row>
    <row r="116" spans="1:13" s="112" customFormat="1" ht="20.25" customHeight="1" x14ac:dyDescent="0.2">
      <c r="A116" s="187"/>
      <c r="B116" s="438" t="s">
        <v>268</v>
      </c>
      <c r="C116" s="438"/>
      <c r="D116" s="438"/>
      <c r="E116" s="438"/>
      <c r="F116" s="438"/>
      <c r="G116" s="438"/>
      <c r="H116" s="438"/>
      <c r="I116" s="438"/>
      <c r="J116" s="439"/>
      <c r="K116" s="367"/>
      <c r="L116" s="173"/>
      <c r="M116" s="188"/>
    </row>
    <row r="117" spans="1:13" s="112" customFormat="1" ht="16.5" customHeight="1" x14ac:dyDescent="0.2">
      <c r="A117" s="187"/>
      <c r="B117" s="196" t="s">
        <v>201</v>
      </c>
      <c r="C117" s="432">
        <v>0</v>
      </c>
      <c r="D117" s="433"/>
      <c r="E117" s="199">
        <v>0</v>
      </c>
      <c r="F117" s="394" t="e">
        <f>IF(E117&lt;&gt;"",ROUND(E117/$C117,3),"")</f>
        <v>#DIV/0!</v>
      </c>
      <c r="G117" s="199">
        <v>0</v>
      </c>
      <c r="H117" s="394" t="e">
        <f>IF(G117&lt;&gt;"",ROUND(G117/$C117,3),"")</f>
        <v>#DIV/0!</v>
      </c>
      <c r="I117" s="199">
        <v>0</v>
      </c>
      <c r="J117" s="394" t="e">
        <f>IF(I117&lt;&gt;"",ROUND(I117/$C117,3),"")</f>
        <v>#DIV/0!</v>
      </c>
      <c r="K117" s="367"/>
      <c r="L117" s="173"/>
      <c r="M117" s="188"/>
    </row>
    <row r="118" spans="1:13" s="112" customFormat="1" ht="16.5" customHeight="1" x14ac:dyDescent="0.2">
      <c r="A118" s="187"/>
      <c r="B118" s="200" t="s">
        <v>272</v>
      </c>
      <c r="C118" s="457">
        <f>IF(SUM(C95,C97,C103,C109,C115,C117)&gt;0,SUM(C95,C97,C103,C109,C115,C117),"")</f>
        <v>493</v>
      </c>
      <c r="D118" s="457"/>
      <c r="E118" s="201">
        <f>IF(SUM(E95,E97,E103,E109,E115,E117)&gt;0,SUM(E95,E97,E103,E109,E115,E117),"")</f>
        <v>51</v>
      </c>
      <c r="F118" s="394">
        <f>IF(E118&lt;&gt;"",ROUND(E118/$C118,3),"")</f>
        <v>0.10299999999999999</v>
      </c>
      <c r="G118" s="201">
        <f>IF(SUM(G95,G97,G103,G109,G115,G117)&gt;0,SUM(G95,G97,G103,G109,G115,G117),"")</f>
        <v>1</v>
      </c>
      <c r="H118" s="394">
        <f>IF(G118&lt;&gt;"",ROUND(G118/$C118,3),"")</f>
        <v>2E-3</v>
      </c>
      <c r="I118" s="201">
        <f>IF(SUM(I95,I97,I103,I109,I115,I117)&gt;0,SUM(I95,I97,I103,I109,I115,I117),"")</f>
        <v>2</v>
      </c>
      <c r="J118" s="394">
        <f>IF(I118&lt;&gt;"",ROUND(I118/$C118,3),"")</f>
        <v>4.0000000000000001E-3</v>
      </c>
      <c r="K118" s="367"/>
      <c r="L118" s="173"/>
      <c r="M118" s="188"/>
    </row>
    <row r="119" spans="1:13" s="40" customFormat="1" ht="132" customHeight="1" x14ac:dyDescent="0.2">
      <c r="A119" s="436" t="s">
        <v>326</v>
      </c>
      <c r="B119" s="437"/>
      <c r="C119" s="437"/>
      <c r="D119" s="437"/>
      <c r="E119" s="437"/>
      <c r="F119" s="437"/>
      <c r="G119" s="437"/>
      <c r="H119" s="437"/>
      <c r="I119" s="437"/>
      <c r="J119" s="437"/>
      <c r="K119" s="437"/>
    </row>
    <row r="120" spans="1:13" s="40" customFormat="1" ht="14.25" customHeight="1" x14ac:dyDescent="0.2">
      <c r="A120" s="186"/>
      <c r="B120" s="169"/>
      <c r="C120" s="169"/>
      <c r="D120" s="169"/>
      <c r="E120" s="169"/>
      <c r="F120" s="169"/>
      <c r="G120" s="169"/>
      <c r="H120" s="169"/>
      <c r="I120" s="169"/>
      <c r="J120" s="169"/>
      <c r="K120" s="368"/>
    </row>
    <row r="121" spans="1:13" s="14" customFormat="1" ht="15.75" customHeight="1" x14ac:dyDescent="0.2">
      <c r="A121" s="6" t="s">
        <v>343</v>
      </c>
      <c r="K121" s="369"/>
      <c r="L121" s="40"/>
    </row>
    <row r="122" spans="1:13" customFormat="1" ht="49.5" customHeight="1" x14ac:dyDescent="0.2">
      <c r="A122" s="458" t="s">
        <v>373</v>
      </c>
      <c r="B122" s="459"/>
      <c r="C122" s="459"/>
      <c r="D122" s="459"/>
      <c r="E122" s="459"/>
      <c r="F122" s="459"/>
      <c r="G122" s="459"/>
      <c r="H122" s="459"/>
      <c r="I122" s="459"/>
      <c r="J122" s="459"/>
      <c r="K122" s="460"/>
      <c r="L122" s="40"/>
    </row>
    <row r="123" spans="1:13" ht="11.25" customHeight="1" x14ac:dyDescent="0.2">
      <c r="A123" s="41"/>
      <c r="B123" s="80"/>
      <c r="C123" s="80"/>
      <c r="D123" s="167"/>
      <c r="E123" s="80"/>
      <c r="F123" s="167"/>
      <c r="G123" s="80"/>
      <c r="H123" s="167"/>
      <c r="I123" s="80"/>
      <c r="J123" s="167"/>
      <c r="M123" s="52"/>
    </row>
    <row r="124" spans="1:13" s="40" customFormat="1" ht="18" customHeight="1" x14ac:dyDescent="0.2">
      <c r="A124" s="465" t="s">
        <v>128</v>
      </c>
      <c r="B124" s="466"/>
      <c r="C124" s="466"/>
      <c r="D124" s="466"/>
      <c r="E124" s="466"/>
      <c r="F124" s="466"/>
      <c r="G124" s="466"/>
      <c r="H124" s="466"/>
      <c r="I124" s="466"/>
      <c r="J124" s="466"/>
      <c r="K124" s="466"/>
      <c r="M124" s="50"/>
    </row>
    <row r="125" spans="1:13" s="40" customFormat="1" ht="12" customHeight="1" x14ac:dyDescent="0.2">
      <c r="A125" s="80"/>
      <c r="B125" s="80"/>
      <c r="C125" s="80"/>
      <c r="D125" s="167"/>
      <c r="E125" s="80"/>
      <c r="F125" s="167"/>
      <c r="G125" s="80"/>
      <c r="H125" s="167"/>
      <c r="I125" s="80"/>
      <c r="J125" s="167"/>
      <c r="K125" s="39"/>
      <c r="M125" s="50"/>
    </row>
    <row r="126" spans="1:13" s="173" customFormat="1" ht="15" customHeight="1" x14ac:dyDescent="0.2">
      <c r="A126" s="172"/>
      <c r="B126" s="172"/>
      <c r="C126" s="446" t="s">
        <v>257</v>
      </c>
      <c r="D126" s="446"/>
      <c r="E126" s="446"/>
      <c r="F126" s="446"/>
      <c r="G126" s="446"/>
      <c r="H126" s="446"/>
      <c r="I126" s="446"/>
      <c r="J126" s="439"/>
    </row>
    <row r="127" spans="1:13" s="172" customFormat="1" ht="39.75" customHeight="1" x14ac:dyDescent="0.2">
      <c r="B127" s="446" t="s">
        <v>48</v>
      </c>
      <c r="C127" s="446" t="s">
        <v>258</v>
      </c>
      <c r="D127" s="439"/>
      <c r="E127" s="446" t="s">
        <v>259</v>
      </c>
      <c r="F127" s="439"/>
      <c r="G127" s="446" t="s">
        <v>271</v>
      </c>
      <c r="H127" s="439"/>
      <c r="I127" s="446" t="s">
        <v>260</v>
      </c>
      <c r="J127" s="439"/>
      <c r="K127" s="173"/>
      <c r="L127" s="173"/>
    </row>
    <row r="128" spans="1:13" s="172" customFormat="1" ht="14.25" customHeight="1" x14ac:dyDescent="0.2">
      <c r="B128" s="439"/>
      <c r="C128" s="444" t="s">
        <v>21</v>
      </c>
      <c r="D128" s="445"/>
      <c r="E128" s="177" t="s">
        <v>21</v>
      </c>
      <c r="F128" s="177" t="s">
        <v>22</v>
      </c>
      <c r="G128" s="177" t="s">
        <v>21</v>
      </c>
      <c r="H128" s="177" t="s">
        <v>22</v>
      </c>
      <c r="I128" s="177" t="s">
        <v>21</v>
      </c>
      <c r="J128" s="177" t="s">
        <v>22</v>
      </c>
      <c r="K128" s="173"/>
      <c r="L128" s="173"/>
    </row>
    <row r="129" spans="1:18" s="112" customFormat="1" ht="23.25" customHeight="1" x14ac:dyDescent="0.2">
      <c r="A129" s="187"/>
      <c r="B129" s="449" t="s">
        <v>28</v>
      </c>
      <c r="C129" s="450"/>
      <c r="D129" s="450"/>
      <c r="E129" s="450"/>
      <c r="F129" s="450"/>
      <c r="G129" s="450"/>
      <c r="H129" s="450"/>
      <c r="I129" s="450"/>
      <c r="J129" s="439"/>
      <c r="K129" s="367"/>
      <c r="L129" s="173"/>
      <c r="M129" s="188"/>
    </row>
    <row r="130" spans="1:18" s="173" customFormat="1" ht="16.5" customHeight="1" x14ac:dyDescent="0.2">
      <c r="B130" s="178" t="s">
        <v>168</v>
      </c>
      <c r="C130" s="430">
        <v>191</v>
      </c>
      <c r="D130" s="431"/>
      <c r="E130" s="190">
        <v>36</v>
      </c>
      <c r="F130" s="394">
        <f t="shared" ref="F130:F133" si="30">IF(E130&lt;&gt;"",ROUND(E130/$C130,3),"")</f>
        <v>0.188</v>
      </c>
      <c r="G130" s="190">
        <v>10</v>
      </c>
      <c r="H130" s="394">
        <f t="shared" ref="H130:H133" si="31">IF(G130&lt;&gt;"",ROUND(G130/$C130,3),"")</f>
        <v>5.1999999999999998E-2</v>
      </c>
      <c r="I130" s="190">
        <v>0</v>
      </c>
      <c r="J130" s="394">
        <f t="shared" ref="J130:J133" si="32">IF(I130&lt;&gt;"",ROUND(I130/$C130,3),"")</f>
        <v>0</v>
      </c>
      <c r="K130" s="183"/>
      <c r="L130" s="173">
        <v>41</v>
      </c>
    </row>
    <row r="131" spans="1:18" s="173" customFormat="1" ht="16.5" customHeight="1" x14ac:dyDescent="0.2">
      <c r="B131" s="178" t="s">
        <v>59</v>
      </c>
      <c r="C131" s="430">
        <v>148</v>
      </c>
      <c r="D131" s="431"/>
      <c r="E131" s="190">
        <v>6</v>
      </c>
      <c r="F131" s="394">
        <f t="shared" si="30"/>
        <v>4.1000000000000002E-2</v>
      </c>
      <c r="G131" s="190">
        <v>2</v>
      </c>
      <c r="H131" s="394">
        <f t="shared" si="31"/>
        <v>1.4E-2</v>
      </c>
      <c r="I131" s="190">
        <v>0</v>
      </c>
      <c r="J131" s="394">
        <f t="shared" si="32"/>
        <v>0</v>
      </c>
      <c r="K131" s="183"/>
      <c r="L131" s="173">
        <v>42</v>
      </c>
    </row>
    <row r="132" spans="1:18" s="173" customFormat="1" ht="16.5" customHeight="1" x14ac:dyDescent="0.2">
      <c r="B132" s="178" t="s">
        <v>125</v>
      </c>
      <c r="C132" s="430">
        <v>111</v>
      </c>
      <c r="D132" s="431"/>
      <c r="E132" s="190">
        <v>16</v>
      </c>
      <c r="F132" s="394">
        <f t="shared" si="30"/>
        <v>0.14399999999999999</v>
      </c>
      <c r="G132" s="190">
        <v>0</v>
      </c>
      <c r="H132" s="394">
        <f t="shared" si="31"/>
        <v>0</v>
      </c>
      <c r="I132" s="190">
        <v>0</v>
      </c>
      <c r="J132" s="394">
        <f t="shared" si="32"/>
        <v>0</v>
      </c>
      <c r="K132" s="183"/>
      <c r="L132" s="173">
        <v>43</v>
      </c>
    </row>
    <row r="133" spans="1:18" s="173" customFormat="1" ht="16.5" customHeight="1" x14ac:dyDescent="0.2">
      <c r="B133" s="178" t="s">
        <v>163</v>
      </c>
      <c r="C133" s="430">
        <v>119</v>
      </c>
      <c r="D133" s="431"/>
      <c r="E133" s="190">
        <v>13</v>
      </c>
      <c r="F133" s="394">
        <f t="shared" si="30"/>
        <v>0.109</v>
      </c>
      <c r="G133" s="190">
        <v>0</v>
      </c>
      <c r="H133" s="394">
        <f t="shared" si="31"/>
        <v>0</v>
      </c>
      <c r="I133" s="190">
        <v>0</v>
      </c>
      <c r="J133" s="394">
        <f t="shared" si="32"/>
        <v>0</v>
      </c>
      <c r="K133" s="183"/>
      <c r="L133" s="173">
        <v>44</v>
      </c>
    </row>
    <row r="134" spans="1:18" s="173" customFormat="1" ht="16.5" customHeight="1" x14ac:dyDescent="0.2">
      <c r="B134" s="178" t="s">
        <v>201</v>
      </c>
      <c r="C134" s="432">
        <v>145</v>
      </c>
      <c r="D134" s="433"/>
      <c r="E134" s="199">
        <v>11</v>
      </c>
      <c r="F134" s="394">
        <f>IF(E134&lt;&gt;"",ROUND(E134/$C134,3),"")</f>
        <v>7.5999999999999998E-2</v>
      </c>
      <c r="G134" s="199">
        <v>0</v>
      </c>
      <c r="H134" s="394">
        <f>IF(G134&lt;&gt;"",ROUND(G134/$C134,3),"")</f>
        <v>0</v>
      </c>
      <c r="I134" s="199">
        <v>0</v>
      </c>
      <c r="J134" s="394">
        <f>IF(I134&lt;&gt;"",ROUND(I134/$C134,3),"")</f>
        <v>0</v>
      </c>
      <c r="K134" s="183"/>
      <c r="Q134" s="373"/>
      <c r="R134" s="373"/>
    </row>
    <row r="135" spans="1:18" s="112" customFormat="1" ht="23.25" customHeight="1" x14ac:dyDescent="0.2">
      <c r="A135" s="187"/>
      <c r="B135" s="455" t="s">
        <v>29</v>
      </c>
      <c r="C135" s="456"/>
      <c r="D135" s="456"/>
      <c r="E135" s="456"/>
      <c r="F135" s="456"/>
      <c r="G135" s="456"/>
      <c r="H135" s="456"/>
      <c r="I135" s="456"/>
      <c r="J135" s="439"/>
      <c r="K135" s="367"/>
      <c r="L135" s="173"/>
      <c r="M135" s="188"/>
      <c r="Q135" s="373"/>
      <c r="R135" s="373"/>
    </row>
    <row r="136" spans="1:18" s="173" customFormat="1" ht="16.5" customHeight="1" x14ac:dyDescent="0.2">
      <c r="B136" s="194" t="s">
        <v>168</v>
      </c>
      <c r="C136" s="430" t="s">
        <v>118</v>
      </c>
      <c r="D136" s="431"/>
      <c r="E136" s="190" t="s">
        <v>118</v>
      </c>
      <c r="F136" s="394" t="str">
        <f t="shared" ref="F136:F139" si="33">IF(E136&lt;&gt;"",ROUND(E136/$C136,3),"")</f>
        <v/>
      </c>
      <c r="G136" s="190" t="s">
        <v>118</v>
      </c>
      <c r="H136" s="394" t="str">
        <f t="shared" ref="H136:H139" si="34">IF(G136&lt;&gt;"",ROUND(G136/$C136,3),"")</f>
        <v/>
      </c>
      <c r="I136" s="190" t="s">
        <v>118</v>
      </c>
      <c r="J136" s="394" t="str">
        <f t="shared" ref="J136:J139" si="35">IF(I136&lt;&gt;"",ROUND(I136/$C136,3),"")</f>
        <v/>
      </c>
      <c r="K136" s="183"/>
      <c r="L136" s="173">
        <v>45</v>
      </c>
      <c r="Q136" s="373"/>
      <c r="R136" s="373"/>
    </row>
    <row r="137" spans="1:18" s="173" customFormat="1" ht="16.5" customHeight="1" x14ac:dyDescent="0.2">
      <c r="B137" s="194" t="s">
        <v>59</v>
      </c>
      <c r="C137" s="430" t="s">
        <v>118</v>
      </c>
      <c r="D137" s="431"/>
      <c r="E137" s="190" t="s">
        <v>118</v>
      </c>
      <c r="F137" s="394" t="str">
        <f t="shared" si="33"/>
        <v/>
      </c>
      <c r="G137" s="190" t="s">
        <v>118</v>
      </c>
      <c r="H137" s="394" t="str">
        <f t="shared" si="34"/>
        <v/>
      </c>
      <c r="I137" s="190" t="s">
        <v>118</v>
      </c>
      <c r="J137" s="394" t="str">
        <f t="shared" si="35"/>
        <v/>
      </c>
      <c r="K137" s="183"/>
      <c r="L137" s="173">
        <v>46</v>
      </c>
      <c r="Q137" s="373"/>
      <c r="R137" s="373"/>
    </row>
    <row r="138" spans="1:18" s="173" customFormat="1" ht="16.5" customHeight="1" x14ac:dyDescent="0.2">
      <c r="B138" s="194" t="s">
        <v>125</v>
      </c>
      <c r="C138" s="430" t="s">
        <v>118</v>
      </c>
      <c r="D138" s="431"/>
      <c r="E138" s="190" t="s">
        <v>118</v>
      </c>
      <c r="F138" s="394" t="str">
        <f t="shared" si="33"/>
        <v/>
      </c>
      <c r="G138" s="190" t="s">
        <v>118</v>
      </c>
      <c r="H138" s="394" t="str">
        <f t="shared" si="34"/>
        <v/>
      </c>
      <c r="I138" s="190" t="s">
        <v>118</v>
      </c>
      <c r="J138" s="394" t="str">
        <f t="shared" si="35"/>
        <v/>
      </c>
      <c r="K138" s="183"/>
      <c r="L138" s="173">
        <v>47</v>
      </c>
      <c r="Q138" s="373"/>
      <c r="R138" s="373"/>
    </row>
    <row r="139" spans="1:18" s="173" customFormat="1" ht="16.5" customHeight="1" x14ac:dyDescent="0.2">
      <c r="B139" s="194" t="s">
        <v>163</v>
      </c>
      <c r="C139" s="430" t="s">
        <v>118</v>
      </c>
      <c r="D139" s="431"/>
      <c r="E139" s="190" t="s">
        <v>118</v>
      </c>
      <c r="F139" s="394" t="str">
        <f t="shared" si="33"/>
        <v/>
      </c>
      <c r="G139" s="190" t="s">
        <v>118</v>
      </c>
      <c r="H139" s="394" t="str">
        <f t="shared" si="34"/>
        <v/>
      </c>
      <c r="I139" s="190" t="s">
        <v>118</v>
      </c>
      <c r="J139" s="394" t="str">
        <f t="shared" si="35"/>
        <v/>
      </c>
      <c r="K139" s="183"/>
      <c r="L139" s="173">
        <v>48</v>
      </c>
      <c r="Q139" s="373"/>
      <c r="R139" s="373"/>
    </row>
    <row r="140" spans="1:18" s="173" customFormat="1" ht="16.5" customHeight="1" x14ac:dyDescent="0.2">
      <c r="B140" s="194" t="s">
        <v>201</v>
      </c>
      <c r="C140" s="432">
        <v>0</v>
      </c>
      <c r="D140" s="433"/>
      <c r="E140" s="199">
        <v>0</v>
      </c>
      <c r="F140" s="394" t="e">
        <f>IF(E140&lt;&gt;"",ROUND(E140/$C140,3),"")</f>
        <v>#DIV/0!</v>
      </c>
      <c r="G140" s="199">
        <v>0</v>
      </c>
      <c r="H140" s="394" t="e">
        <f>IF(G140&lt;&gt;"",ROUND(G140/$C140,3),"")</f>
        <v>#DIV/0!</v>
      </c>
      <c r="I140" s="199">
        <v>0</v>
      </c>
      <c r="J140" s="394" t="e">
        <f>IF(I140&lt;&gt;"",ROUND(I140/$C140,3),"")</f>
        <v>#DIV/0!</v>
      </c>
      <c r="K140" s="183"/>
      <c r="Q140" s="373"/>
      <c r="R140" s="373"/>
    </row>
    <row r="141" spans="1:18" s="112" customFormat="1" ht="23.25" customHeight="1" x14ac:dyDescent="0.2">
      <c r="A141" s="187"/>
      <c r="B141" s="484" t="s">
        <v>27</v>
      </c>
      <c r="C141" s="485"/>
      <c r="D141" s="485"/>
      <c r="E141" s="485"/>
      <c r="F141" s="485"/>
      <c r="G141" s="485"/>
      <c r="H141" s="485"/>
      <c r="I141" s="485"/>
      <c r="J141" s="439"/>
      <c r="K141" s="367"/>
      <c r="L141" s="173"/>
      <c r="M141" s="188"/>
      <c r="Q141" s="373"/>
      <c r="R141" s="373"/>
    </row>
    <row r="142" spans="1:18" s="173" customFormat="1" ht="16.5" customHeight="1" x14ac:dyDescent="0.2">
      <c r="B142" s="202" t="s">
        <v>168</v>
      </c>
      <c r="C142" s="430">
        <v>104</v>
      </c>
      <c r="D142" s="431"/>
      <c r="E142" s="190">
        <v>0</v>
      </c>
      <c r="F142" s="394">
        <f t="shared" ref="F142:F145" si="36">IF(E142&lt;&gt;"",ROUND(E142/$C142,3),"")</f>
        <v>0</v>
      </c>
      <c r="G142" s="190">
        <v>0</v>
      </c>
      <c r="H142" s="394">
        <f t="shared" ref="H142:H145" si="37">IF(G142&lt;&gt;"",ROUND(G142/$C142,3),"")</f>
        <v>0</v>
      </c>
      <c r="I142" s="190">
        <v>0</v>
      </c>
      <c r="J142" s="394">
        <f t="shared" ref="J142:J145" si="38">IF(I142&lt;&gt;"",ROUND(I142/$C142,3),"")</f>
        <v>0</v>
      </c>
      <c r="K142" s="183"/>
      <c r="L142" s="173">
        <v>49</v>
      </c>
      <c r="Q142" s="373"/>
      <c r="R142" s="373"/>
    </row>
    <row r="143" spans="1:18" s="173" customFormat="1" ht="16.5" customHeight="1" x14ac:dyDescent="0.2">
      <c r="B143" s="202" t="s">
        <v>59</v>
      </c>
      <c r="C143" s="430">
        <v>94</v>
      </c>
      <c r="D143" s="431"/>
      <c r="E143" s="190">
        <v>0</v>
      </c>
      <c r="F143" s="394">
        <f t="shared" si="36"/>
        <v>0</v>
      </c>
      <c r="G143" s="190">
        <v>0</v>
      </c>
      <c r="H143" s="394">
        <f t="shared" si="37"/>
        <v>0</v>
      </c>
      <c r="I143" s="190">
        <v>0</v>
      </c>
      <c r="J143" s="394">
        <f t="shared" si="38"/>
        <v>0</v>
      </c>
      <c r="K143" s="183"/>
      <c r="L143" s="173">
        <v>50</v>
      </c>
      <c r="Q143" s="373"/>
      <c r="R143" s="373"/>
    </row>
    <row r="144" spans="1:18" s="173" customFormat="1" ht="16.5" customHeight="1" x14ac:dyDescent="0.2">
      <c r="B144" s="202" t="s">
        <v>125</v>
      </c>
      <c r="C144" s="430">
        <v>70</v>
      </c>
      <c r="D144" s="431"/>
      <c r="E144" s="190">
        <v>0</v>
      </c>
      <c r="F144" s="394">
        <f t="shared" si="36"/>
        <v>0</v>
      </c>
      <c r="G144" s="190">
        <v>1</v>
      </c>
      <c r="H144" s="394">
        <f t="shared" si="37"/>
        <v>1.4E-2</v>
      </c>
      <c r="I144" s="190">
        <v>0</v>
      </c>
      <c r="J144" s="394">
        <f t="shared" si="38"/>
        <v>0</v>
      </c>
      <c r="K144" s="183"/>
      <c r="L144" s="173">
        <v>51</v>
      </c>
      <c r="Q144" s="373"/>
      <c r="R144" s="373"/>
    </row>
    <row r="145" spans="1:18" s="173" customFormat="1" ht="16.5" customHeight="1" x14ac:dyDescent="0.2">
      <c r="B145" s="202" t="s">
        <v>163</v>
      </c>
      <c r="C145" s="430">
        <v>60</v>
      </c>
      <c r="D145" s="431"/>
      <c r="E145" s="190">
        <v>0</v>
      </c>
      <c r="F145" s="394">
        <f t="shared" si="36"/>
        <v>0</v>
      </c>
      <c r="G145" s="190">
        <v>0</v>
      </c>
      <c r="H145" s="394">
        <f t="shared" si="37"/>
        <v>0</v>
      </c>
      <c r="I145" s="190">
        <v>1</v>
      </c>
      <c r="J145" s="394">
        <f t="shared" si="38"/>
        <v>1.7000000000000001E-2</v>
      </c>
      <c r="K145" s="183"/>
      <c r="L145" s="173">
        <v>52</v>
      </c>
      <c r="Q145" s="373"/>
      <c r="R145" s="373"/>
    </row>
    <row r="146" spans="1:18" s="173" customFormat="1" ht="16.5" customHeight="1" x14ac:dyDescent="0.2">
      <c r="B146" s="202" t="s">
        <v>201</v>
      </c>
      <c r="C146" s="432">
        <v>39</v>
      </c>
      <c r="D146" s="433"/>
      <c r="E146" s="199">
        <v>3</v>
      </c>
      <c r="F146" s="394">
        <f>IF(E146&lt;&gt;"",ROUND(E146/$C146,3),"")</f>
        <v>7.6999999999999999E-2</v>
      </c>
      <c r="G146" s="199">
        <v>1</v>
      </c>
      <c r="H146" s="394">
        <f>IF(G146&lt;&gt;"",ROUND(G146/$C146,3),"")</f>
        <v>2.5999999999999999E-2</v>
      </c>
      <c r="I146" s="199">
        <v>0</v>
      </c>
      <c r="J146" s="394">
        <f>IF(I146&lt;&gt;"",ROUND(I146/$C146,3),"")</f>
        <v>0</v>
      </c>
      <c r="K146" s="183"/>
      <c r="Q146" s="373"/>
      <c r="R146" s="373"/>
    </row>
    <row r="147" spans="1:18" s="112" customFormat="1" ht="23.25" customHeight="1" x14ac:dyDescent="0.2">
      <c r="A147" s="187"/>
      <c r="B147" s="440" t="s">
        <v>124</v>
      </c>
      <c r="C147" s="441"/>
      <c r="D147" s="441"/>
      <c r="E147" s="441"/>
      <c r="F147" s="441"/>
      <c r="G147" s="441"/>
      <c r="H147" s="441"/>
      <c r="I147" s="441"/>
      <c r="J147" s="439"/>
      <c r="K147" s="367"/>
      <c r="L147" s="173"/>
      <c r="M147" s="188"/>
      <c r="Q147" s="373"/>
      <c r="R147" s="373"/>
    </row>
    <row r="148" spans="1:18" s="182" customFormat="1" ht="16.5" customHeight="1" x14ac:dyDescent="0.2">
      <c r="B148" s="203" t="s">
        <v>168</v>
      </c>
      <c r="C148" s="430" t="s">
        <v>118</v>
      </c>
      <c r="D148" s="431"/>
      <c r="E148" s="190" t="s">
        <v>118</v>
      </c>
      <c r="F148" s="394" t="str">
        <f t="shared" ref="F148:F151" si="39">IF(E148&lt;&gt;"",ROUND(E148/$C148,3),"")</f>
        <v/>
      </c>
      <c r="G148" s="190" t="s">
        <v>118</v>
      </c>
      <c r="H148" s="394" t="str">
        <f t="shared" ref="H148:H151" si="40">IF(G148&lt;&gt;"",ROUND(G148/$C148,3),"")</f>
        <v/>
      </c>
      <c r="I148" s="190" t="s">
        <v>118</v>
      </c>
      <c r="J148" s="394" t="str">
        <f t="shared" ref="J148:J151" si="41">IF(I148&lt;&gt;"",ROUND(I148/$C148,3),"")</f>
        <v/>
      </c>
      <c r="K148" s="183"/>
      <c r="L148" s="173">
        <v>53</v>
      </c>
      <c r="Q148" s="373"/>
      <c r="R148" s="373"/>
    </row>
    <row r="149" spans="1:18" s="182" customFormat="1" ht="16.5" customHeight="1" x14ac:dyDescent="0.2">
      <c r="B149" s="203" t="s">
        <v>59</v>
      </c>
      <c r="C149" s="430" t="s">
        <v>118</v>
      </c>
      <c r="D149" s="431"/>
      <c r="E149" s="190" t="s">
        <v>118</v>
      </c>
      <c r="F149" s="394" t="str">
        <f t="shared" si="39"/>
        <v/>
      </c>
      <c r="G149" s="190" t="s">
        <v>118</v>
      </c>
      <c r="H149" s="394" t="str">
        <f t="shared" si="40"/>
        <v/>
      </c>
      <c r="I149" s="190" t="s">
        <v>118</v>
      </c>
      <c r="J149" s="394" t="str">
        <f t="shared" si="41"/>
        <v/>
      </c>
      <c r="K149" s="183"/>
      <c r="L149" s="173">
        <v>54</v>
      </c>
      <c r="Q149" s="373"/>
      <c r="R149" s="373"/>
    </row>
    <row r="150" spans="1:18" s="173" customFormat="1" ht="16.5" customHeight="1" x14ac:dyDescent="0.2">
      <c r="B150" s="203" t="s">
        <v>125</v>
      </c>
      <c r="C150" s="430" t="s">
        <v>118</v>
      </c>
      <c r="D150" s="431"/>
      <c r="E150" s="190" t="s">
        <v>118</v>
      </c>
      <c r="F150" s="394" t="str">
        <f t="shared" si="39"/>
        <v/>
      </c>
      <c r="G150" s="190" t="s">
        <v>118</v>
      </c>
      <c r="H150" s="394" t="str">
        <f t="shared" si="40"/>
        <v/>
      </c>
      <c r="I150" s="190" t="s">
        <v>118</v>
      </c>
      <c r="J150" s="394" t="str">
        <f t="shared" si="41"/>
        <v/>
      </c>
      <c r="K150" s="183"/>
      <c r="L150" s="173">
        <v>55</v>
      </c>
      <c r="Q150" s="373"/>
      <c r="R150" s="373"/>
    </row>
    <row r="151" spans="1:18" s="173" customFormat="1" ht="16.5" customHeight="1" x14ac:dyDescent="0.2">
      <c r="B151" s="203" t="s">
        <v>163</v>
      </c>
      <c r="C151" s="430" t="s">
        <v>118</v>
      </c>
      <c r="D151" s="431"/>
      <c r="E151" s="190" t="s">
        <v>118</v>
      </c>
      <c r="F151" s="394" t="str">
        <f t="shared" si="39"/>
        <v/>
      </c>
      <c r="G151" s="190" t="s">
        <v>118</v>
      </c>
      <c r="H151" s="394" t="str">
        <f t="shared" si="40"/>
        <v/>
      </c>
      <c r="I151" s="190" t="s">
        <v>118</v>
      </c>
      <c r="J151" s="394" t="str">
        <f t="shared" si="41"/>
        <v/>
      </c>
      <c r="K151" s="183"/>
      <c r="L151" s="173">
        <v>56</v>
      </c>
      <c r="Q151" s="373"/>
      <c r="R151" s="373"/>
    </row>
    <row r="152" spans="1:18" s="173" customFormat="1" ht="16.5" customHeight="1" x14ac:dyDescent="0.2">
      <c r="B152" s="203" t="s">
        <v>201</v>
      </c>
      <c r="C152" s="432">
        <v>0</v>
      </c>
      <c r="D152" s="433"/>
      <c r="E152" s="199">
        <v>0</v>
      </c>
      <c r="F152" s="394" t="e">
        <f>IF(E152&lt;&gt;"",ROUND(E152/$C152,3),"")</f>
        <v>#DIV/0!</v>
      </c>
      <c r="G152" s="199">
        <v>0</v>
      </c>
      <c r="H152" s="394" t="e">
        <f>IF(G152&lt;&gt;"",ROUND(G152/$C152,3),"")</f>
        <v>#DIV/0!</v>
      </c>
      <c r="I152" s="199">
        <v>0</v>
      </c>
      <c r="J152" s="394" t="e">
        <f>IF(I152&lt;&gt;"",ROUND(I152/$C152,3),"")</f>
        <v>#DIV/0!</v>
      </c>
      <c r="K152" s="183"/>
      <c r="Q152" s="373"/>
      <c r="R152" s="373"/>
    </row>
    <row r="153" spans="1:18" s="112" customFormat="1" ht="23.25" customHeight="1" x14ac:dyDescent="0.2">
      <c r="A153" s="187"/>
      <c r="B153" s="442" t="s">
        <v>25</v>
      </c>
      <c r="C153" s="443"/>
      <c r="D153" s="443"/>
      <c r="E153" s="443"/>
      <c r="F153" s="443"/>
      <c r="G153" s="443"/>
      <c r="H153" s="443"/>
      <c r="I153" s="443"/>
      <c r="J153" s="439"/>
      <c r="K153" s="367"/>
      <c r="L153" s="173"/>
      <c r="M153" s="188"/>
      <c r="Q153" s="373"/>
      <c r="R153" s="373"/>
    </row>
    <row r="154" spans="1:18" s="182" customFormat="1" ht="16.5" customHeight="1" x14ac:dyDescent="0.2">
      <c r="B154" s="204" t="s">
        <v>168</v>
      </c>
      <c r="C154" s="430" t="s">
        <v>118</v>
      </c>
      <c r="D154" s="431"/>
      <c r="E154" s="190" t="s">
        <v>118</v>
      </c>
      <c r="F154" s="394" t="str">
        <f t="shared" ref="F154:F157" si="42">IF(E154&lt;&gt;"",ROUND(E154/$C154,3),"")</f>
        <v/>
      </c>
      <c r="G154" s="190" t="s">
        <v>118</v>
      </c>
      <c r="H154" s="394" t="str">
        <f t="shared" ref="H154:H157" si="43">IF(G154&lt;&gt;"",ROUND(G154/$C154,3),"")</f>
        <v/>
      </c>
      <c r="I154" s="190" t="s">
        <v>118</v>
      </c>
      <c r="J154" s="394" t="str">
        <f t="shared" ref="J154:J157" si="44">IF(I154&lt;&gt;"",ROUND(I154/$C154,3),"")</f>
        <v/>
      </c>
      <c r="K154" s="183"/>
      <c r="L154" s="173">
        <v>57</v>
      </c>
    </row>
    <row r="155" spans="1:18" s="182" customFormat="1" ht="16.5" customHeight="1" x14ac:dyDescent="0.2">
      <c r="B155" s="204" t="s">
        <v>59</v>
      </c>
      <c r="C155" s="430" t="s">
        <v>118</v>
      </c>
      <c r="D155" s="431"/>
      <c r="E155" s="190" t="s">
        <v>118</v>
      </c>
      <c r="F155" s="394" t="str">
        <f t="shared" si="42"/>
        <v/>
      </c>
      <c r="G155" s="190" t="s">
        <v>118</v>
      </c>
      <c r="H155" s="394" t="str">
        <f t="shared" si="43"/>
        <v/>
      </c>
      <c r="I155" s="190" t="s">
        <v>118</v>
      </c>
      <c r="J155" s="394" t="str">
        <f t="shared" si="44"/>
        <v/>
      </c>
      <c r="K155" s="183"/>
      <c r="L155" s="173">
        <v>58</v>
      </c>
    </row>
    <row r="156" spans="1:18" s="182" customFormat="1" ht="16.5" customHeight="1" x14ac:dyDescent="0.2">
      <c r="B156" s="204" t="s">
        <v>125</v>
      </c>
      <c r="C156" s="430" t="s">
        <v>118</v>
      </c>
      <c r="D156" s="431"/>
      <c r="E156" s="190" t="s">
        <v>118</v>
      </c>
      <c r="F156" s="394" t="str">
        <f t="shared" si="42"/>
        <v/>
      </c>
      <c r="G156" s="190" t="s">
        <v>118</v>
      </c>
      <c r="H156" s="394" t="str">
        <f t="shared" si="43"/>
        <v/>
      </c>
      <c r="I156" s="190" t="s">
        <v>118</v>
      </c>
      <c r="J156" s="394" t="str">
        <f t="shared" si="44"/>
        <v/>
      </c>
      <c r="K156" s="183"/>
      <c r="L156" s="173">
        <v>59</v>
      </c>
    </row>
    <row r="157" spans="1:18" s="182" customFormat="1" ht="16.5" customHeight="1" x14ac:dyDescent="0.2">
      <c r="B157" s="204" t="s">
        <v>163</v>
      </c>
      <c r="C157" s="430" t="s">
        <v>118</v>
      </c>
      <c r="D157" s="431"/>
      <c r="E157" s="190" t="s">
        <v>118</v>
      </c>
      <c r="F157" s="394" t="str">
        <f t="shared" si="42"/>
        <v/>
      </c>
      <c r="G157" s="190" t="s">
        <v>118</v>
      </c>
      <c r="H157" s="394" t="str">
        <f t="shared" si="43"/>
        <v/>
      </c>
      <c r="I157" s="190" t="s">
        <v>118</v>
      </c>
      <c r="J157" s="394" t="str">
        <f t="shared" si="44"/>
        <v/>
      </c>
      <c r="K157" s="183"/>
      <c r="L157" s="173">
        <v>60</v>
      </c>
    </row>
    <row r="158" spans="1:18" s="173" customFormat="1" ht="16.5" customHeight="1" x14ac:dyDescent="0.2">
      <c r="B158" s="204" t="s">
        <v>201</v>
      </c>
      <c r="C158" s="432">
        <v>0</v>
      </c>
      <c r="D158" s="433"/>
      <c r="E158" s="199">
        <v>0</v>
      </c>
      <c r="F158" s="394" t="e">
        <f>IF(E158&lt;&gt;"",ROUND(E158/$C158,3),"")</f>
        <v>#DIV/0!</v>
      </c>
      <c r="G158" s="199">
        <v>0</v>
      </c>
      <c r="H158" s="394" t="e">
        <f>IF(G158&lt;&gt;"",ROUND(G158/$C158,3),"")</f>
        <v>#DIV/0!</v>
      </c>
      <c r="I158" s="199">
        <v>0</v>
      </c>
      <c r="J158" s="394" t="e">
        <f>IF(I158&lt;&gt;"",ROUND(I158/$C158,3),"")</f>
        <v>#DIV/0!</v>
      </c>
      <c r="K158" s="183"/>
      <c r="L158" s="182"/>
    </row>
    <row r="159" spans="1:18" s="112" customFormat="1" ht="20.25" customHeight="1" x14ac:dyDescent="0.2">
      <c r="A159" s="187"/>
      <c r="B159" s="438" t="s">
        <v>268</v>
      </c>
      <c r="C159" s="438"/>
      <c r="D159" s="438"/>
      <c r="E159" s="438"/>
      <c r="F159" s="438"/>
      <c r="G159" s="438"/>
      <c r="H159" s="438"/>
      <c r="I159" s="438"/>
      <c r="J159" s="439"/>
      <c r="K159" s="367"/>
      <c r="L159" s="173"/>
      <c r="M159" s="188"/>
    </row>
    <row r="160" spans="1:18" s="112" customFormat="1" ht="16.5" customHeight="1" x14ac:dyDescent="0.2">
      <c r="A160" s="187"/>
      <c r="B160" s="196" t="s">
        <v>201</v>
      </c>
      <c r="C160" s="432">
        <v>0</v>
      </c>
      <c r="D160" s="433"/>
      <c r="E160" s="199">
        <v>0</v>
      </c>
      <c r="F160" s="394" t="e">
        <f>IF(E160&lt;&gt;"",ROUND(E160/$C160,3),"")</f>
        <v>#DIV/0!</v>
      </c>
      <c r="G160" s="199">
        <v>0</v>
      </c>
      <c r="H160" s="394" t="e">
        <f>IF(G160&lt;&gt;"",ROUND(G160/$C160,3),"")</f>
        <v>#DIV/0!</v>
      </c>
      <c r="I160" s="199">
        <v>0</v>
      </c>
      <c r="J160" s="394" t="e">
        <f>IF(I160&lt;&gt;"",ROUND(I160/$C160,3),"")</f>
        <v>#DIV/0!</v>
      </c>
      <c r="K160" s="367"/>
      <c r="L160" s="173"/>
      <c r="M160" s="188"/>
    </row>
    <row r="161" spans="1:13" s="112" customFormat="1" ht="16.5" customHeight="1" x14ac:dyDescent="0.2">
      <c r="A161" s="187"/>
      <c r="B161" s="200" t="s">
        <v>272</v>
      </c>
      <c r="C161" s="457">
        <f>IF(SUM(C134,C140,C146,C152,C158,C160)&gt;0,SUM(C134,C140,C146,C152,C158,C160),"")</f>
        <v>184</v>
      </c>
      <c r="D161" s="457"/>
      <c r="E161" s="201">
        <f>IF(SUM(E134,E140,E146,E152,E158,E160)&gt;0,SUM(E134,E140,E146,E152,E158,E160),"")</f>
        <v>14</v>
      </c>
      <c r="F161" s="394">
        <f>IF(E161&lt;&gt;"",ROUND(E161/$C161,3),"")</f>
        <v>7.5999999999999998E-2</v>
      </c>
      <c r="G161" s="201">
        <f>IF(SUM(G134,G140,G146,G152,G158,G160)&gt;0,SUM(G134,G140,G146,G152,G158,G160),"")</f>
        <v>1</v>
      </c>
      <c r="H161" s="394">
        <f>IF(G161&lt;&gt;"",ROUND(G161/$C161,3),"")</f>
        <v>5.0000000000000001E-3</v>
      </c>
      <c r="I161" s="201" t="str">
        <f>IF(SUM(I134,I140,I146,I152,I158,I160)&gt;0,SUM(I134,I140,I146,I152,I158,I160),"")</f>
        <v/>
      </c>
      <c r="J161" s="394" t="str">
        <f>IF(I161&lt;&gt;"",ROUND(I161/$C161,3),"")</f>
        <v/>
      </c>
      <c r="K161" s="367"/>
      <c r="L161" s="173"/>
      <c r="M161" s="188"/>
    </row>
    <row r="162" spans="1:13" s="40" customFormat="1" ht="132" customHeight="1" x14ac:dyDescent="0.2">
      <c r="A162" s="436" t="s">
        <v>326</v>
      </c>
      <c r="B162" s="437"/>
      <c r="C162" s="437"/>
      <c r="D162" s="437"/>
      <c r="E162" s="437"/>
      <c r="F162" s="437"/>
      <c r="G162" s="437"/>
      <c r="H162" s="437"/>
      <c r="I162" s="437"/>
      <c r="J162" s="437"/>
      <c r="K162" s="437"/>
    </row>
    <row r="163" spans="1:13" s="40" customFormat="1" ht="14.25" customHeight="1" x14ac:dyDescent="0.2">
      <c r="A163" s="186"/>
      <c r="B163" s="169"/>
      <c r="C163" s="169"/>
      <c r="D163" s="169"/>
      <c r="E163" s="169"/>
      <c r="F163" s="169"/>
      <c r="G163" s="169"/>
      <c r="H163" s="169"/>
      <c r="I163" s="169"/>
      <c r="J163" s="169"/>
      <c r="K163" s="368"/>
    </row>
    <row r="164" spans="1:13" s="14" customFormat="1" ht="15.75" customHeight="1" x14ac:dyDescent="0.2">
      <c r="A164" s="6" t="s">
        <v>343</v>
      </c>
      <c r="K164" s="369"/>
      <c r="L164" s="40"/>
    </row>
    <row r="165" spans="1:13" customFormat="1" ht="49.5" customHeight="1" x14ac:dyDescent="0.2">
      <c r="A165" s="458" t="s">
        <v>374</v>
      </c>
      <c r="B165" s="459"/>
      <c r="C165" s="459"/>
      <c r="D165" s="459"/>
      <c r="E165" s="459"/>
      <c r="F165" s="459"/>
      <c r="G165" s="459"/>
      <c r="H165" s="459"/>
      <c r="I165" s="459"/>
      <c r="J165" s="459"/>
      <c r="K165" s="460"/>
      <c r="L165" s="40"/>
    </row>
    <row r="167" spans="1:13" x14ac:dyDescent="0.2">
      <c r="L167" s="58"/>
    </row>
    <row r="168" spans="1:13" x14ac:dyDescent="0.2">
      <c r="L168" s="58"/>
    </row>
    <row r="169" spans="1:13" x14ac:dyDescent="0.2">
      <c r="L169" s="58"/>
    </row>
    <row r="171" spans="1:13" x14ac:dyDescent="0.2">
      <c r="L171" s="58"/>
    </row>
    <row r="172" spans="1:13" x14ac:dyDescent="0.2">
      <c r="L172" s="6"/>
    </row>
    <row r="173" spans="1:13" x14ac:dyDescent="0.2">
      <c r="L173" s="6"/>
    </row>
  </sheetData>
  <sheetProtection password="DC9F" sheet="1"/>
  <mergeCells count="168">
    <mergeCell ref="A124:K124"/>
    <mergeCell ref="A122:K122"/>
    <mergeCell ref="A85:K85"/>
    <mergeCell ref="A119:K119"/>
    <mergeCell ref="C97:D97"/>
    <mergeCell ref="C99:D99"/>
    <mergeCell ref="C100:D100"/>
    <mergeCell ref="C105:D105"/>
    <mergeCell ref="A165:K165"/>
    <mergeCell ref="A162:K162"/>
    <mergeCell ref="B104:J104"/>
    <mergeCell ref="B98:J98"/>
    <mergeCell ref="B96:J96"/>
    <mergeCell ref="B159:J159"/>
    <mergeCell ref="B153:J153"/>
    <mergeCell ref="B147:J147"/>
    <mergeCell ref="B141:J141"/>
    <mergeCell ref="B135:J135"/>
    <mergeCell ref="B129:J129"/>
    <mergeCell ref="C136:D136"/>
    <mergeCell ref="C137:D137"/>
    <mergeCell ref="C138:D138"/>
    <mergeCell ref="C139:D139"/>
    <mergeCell ref="C140:D140"/>
    <mergeCell ref="A5:K5"/>
    <mergeCell ref="A4:K4"/>
    <mergeCell ref="A3:K3"/>
    <mergeCell ref="A19:K19"/>
    <mergeCell ref="A46:K46"/>
    <mergeCell ref="A44:K44"/>
    <mergeCell ref="A6:K6"/>
    <mergeCell ref="C8:I8"/>
    <mergeCell ref="I9:I10"/>
    <mergeCell ref="C9:D10"/>
    <mergeCell ref="E9:H9"/>
    <mergeCell ref="B9:B11"/>
    <mergeCell ref="E10:F10"/>
    <mergeCell ref="G10:H10"/>
    <mergeCell ref="C40:D40"/>
    <mergeCell ref="G17:H17"/>
    <mergeCell ref="E17:F17"/>
    <mergeCell ref="E15:H15"/>
    <mergeCell ref="C14:J14"/>
    <mergeCell ref="C15:D15"/>
    <mergeCell ref="I15:J15"/>
    <mergeCell ref="G16:H16"/>
    <mergeCell ref="E16:F16"/>
    <mergeCell ref="C21:J21"/>
    <mergeCell ref="C79:D79"/>
    <mergeCell ref="C118:D118"/>
    <mergeCell ref="C161:D161"/>
    <mergeCell ref="B59:J59"/>
    <mergeCell ref="B57:J57"/>
    <mergeCell ref="C50:D50"/>
    <mergeCell ref="C58:D58"/>
    <mergeCell ref="C130:D130"/>
    <mergeCell ref="A83:K83"/>
    <mergeCell ref="B90:J90"/>
    <mergeCell ref="C87:J87"/>
    <mergeCell ref="B88:B89"/>
    <mergeCell ref="C88:D88"/>
    <mergeCell ref="E88:F88"/>
    <mergeCell ref="G88:H88"/>
    <mergeCell ref="I88:J88"/>
    <mergeCell ref="C126:J126"/>
    <mergeCell ref="B127:B128"/>
    <mergeCell ref="C127:D127"/>
    <mergeCell ref="E127:F127"/>
    <mergeCell ref="G127:H127"/>
    <mergeCell ref="I127:J127"/>
    <mergeCell ref="B116:J116"/>
    <mergeCell ref="B110:J110"/>
    <mergeCell ref="C142:D142"/>
    <mergeCell ref="C143:D143"/>
    <mergeCell ref="C144:D144"/>
    <mergeCell ref="C157:D157"/>
    <mergeCell ref="C158:D158"/>
    <mergeCell ref="E22:F22"/>
    <mergeCell ref="G22:H22"/>
    <mergeCell ref="C29:D29"/>
    <mergeCell ref="C31:D31"/>
    <mergeCell ref="B30:J30"/>
    <mergeCell ref="B32:J32"/>
    <mergeCell ref="B38:J38"/>
    <mergeCell ref="C33:D33"/>
    <mergeCell ref="C34:D34"/>
    <mergeCell ref="C35:D35"/>
    <mergeCell ref="C36:D36"/>
    <mergeCell ref="C37:D37"/>
    <mergeCell ref="I22:J22"/>
    <mergeCell ref="C25:D25"/>
    <mergeCell ref="C26:D26"/>
    <mergeCell ref="C27:D27"/>
    <mergeCell ref="C28:D28"/>
    <mergeCell ref="B24:J24"/>
    <mergeCell ref="C23:D23"/>
    <mergeCell ref="C93:D93"/>
    <mergeCell ref="C94:D94"/>
    <mergeCell ref="C95:D95"/>
    <mergeCell ref="C72:D72"/>
    <mergeCell ref="C60:D60"/>
    <mergeCell ref="C61:D61"/>
    <mergeCell ref="C62:D62"/>
    <mergeCell ref="C63:D63"/>
    <mergeCell ref="B22:B23"/>
    <mergeCell ref="C22:D22"/>
    <mergeCell ref="A41:K41"/>
    <mergeCell ref="C49:D49"/>
    <mergeCell ref="E49:F49"/>
    <mergeCell ref="G49:H49"/>
    <mergeCell ref="I49:J49"/>
    <mergeCell ref="C39:D39"/>
    <mergeCell ref="B51:J51"/>
    <mergeCell ref="B49:B50"/>
    <mergeCell ref="C48:J48"/>
    <mergeCell ref="C52:D52"/>
    <mergeCell ref="C53:D53"/>
    <mergeCell ref="C54:D54"/>
    <mergeCell ref="C55:D55"/>
    <mergeCell ref="C56:D56"/>
    <mergeCell ref="C160:D160"/>
    <mergeCell ref="C128:D128"/>
    <mergeCell ref="C89:D89"/>
    <mergeCell ref="C151:D151"/>
    <mergeCell ref="C152:D152"/>
    <mergeCell ref="C154:D154"/>
    <mergeCell ref="C155:D155"/>
    <mergeCell ref="C156:D156"/>
    <mergeCell ref="C145:D145"/>
    <mergeCell ref="C146:D146"/>
    <mergeCell ref="C148:D148"/>
    <mergeCell ref="C149:D149"/>
    <mergeCell ref="C150:D150"/>
    <mergeCell ref="C117:D117"/>
    <mergeCell ref="C131:D131"/>
    <mergeCell ref="C132:D132"/>
    <mergeCell ref="C133:D133"/>
    <mergeCell ref="C134:D134"/>
    <mergeCell ref="C111:D111"/>
    <mergeCell ref="C106:D106"/>
    <mergeCell ref="C107:D107"/>
    <mergeCell ref="C108:D108"/>
    <mergeCell ref="C109:D109"/>
    <mergeCell ref="C101:D101"/>
    <mergeCell ref="C112:D112"/>
    <mergeCell ref="C113:D113"/>
    <mergeCell ref="C114:D114"/>
    <mergeCell ref="C115:D115"/>
    <mergeCell ref="C73:D73"/>
    <mergeCell ref="C74:D74"/>
    <mergeCell ref="C75:D75"/>
    <mergeCell ref="C76:D76"/>
    <mergeCell ref="I1:J1"/>
    <mergeCell ref="C102:D102"/>
    <mergeCell ref="C103:D103"/>
    <mergeCell ref="C64:D64"/>
    <mergeCell ref="C66:D66"/>
    <mergeCell ref="C67:D67"/>
    <mergeCell ref="C68:D68"/>
    <mergeCell ref="C69:D69"/>
    <mergeCell ref="A80:K80"/>
    <mergeCell ref="B77:J77"/>
    <mergeCell ref="B71:J71"/>
    <mergeCell ref="B65:J65"/>
    <mergeCell ref="C70:D70"/>
    <mergeCell ref="C91:D91"/>
    <mergeCell ref="C78:D78"/>
    <mergeCell ref="C92:D92"/>
  </mergeCells>
  <conditionalFormatting sqref="F25">
    <cfRule type="cellIs" dxfId="141" priority="59" stopIfTrue="1" operator="greaterThan">
      <formula>1</formula>
    </cfRule>
  </conditionalFormatting>
  <conditionalFormatting sqref="F26:F29">
    <cfRule type="cellIs" dxfId="140" priority="58" stopIfTrue="1" operator="greaterThan">
      <formula>1</formula>
    </cfRule>
  </conditionalFormatting>
  <conditionalFormatting sqref="H25">
    <cfRule type="cellIs" dxfId="139" priority="55" stopIfTrue="1" operator="greaterThan">
      <formula>1</formula>
    </cfRule>
  </conditionalFormatting>
  <conditionalFormatting sqref="H26:H29">
    <cfRule type="cellIs" dxfId="138" priority="54" stopIfTrue="1" operator="greaterThan">
      <formula>1</formula>
    </cfRule>
  </conditionalFormatting>
  <conditionalFormatting sqref="J25">
    <cfRule type="cellIs" dxfId="137" priority="53" stopIfTrue="1" operator="greaterThan">
      <formula>1</formula>
    </cfRule>
  </conditionalFormatting>
  <conditionalFormatting sqref="J26:J29">
    <cfRule type="cellIs" dxfId="136" priority="52" stopIfTrue="1" operator="greaterThan">
      <formula>1</formula>
    </cfRule>
  </conditionalFormatting>
  <conditionalFormatting sqref="F31">
    <cfRule type="cellIs" dxfId="135" priority="51" stopIfTrue="1" operator="greaterThan">
      <formula>1</formula>
    </cfRule>
  </conditionalFormatting>
  <conditionalFormatting sqref="H31">
    <cfRule type="cellIs" dxfId="134" priority="50" stopIfTrue="1" operator="greaterThan">
      <formula>1</formula>
    </cfRule>
  </conditionalFormatting>
  <conditionalFormatting sqref="J31">
    <cfRule type="cellIs" dxfId="133" priority="49" stopIfTrue="1" operator="greaterThan">
      <formula>1</formula>
    </cfRule>
  </conditionalFormatting>
  <conditionalFormatting sqref="F33:F37">
    <cfRule type="cellIs" dxfId="132" priority="48" stopIfTrue="1" operator="greaterThan">
      <formula>1</formula>
    </cfRule>
  </conditionalFormatting>
  <conditionalFormatting sqref="H33:H37">
    <cfRule type="cellIs" dxfId="131" priority="47" stopIfTrue="1" operator="greaterThan">
      <formula>1</formula>
    </cfRule>
  </conditionalFormatting>
  <conditionalFormatting sqref="J33:J37">
    <cfRule type="cellIs" dxfId="130" priority="46" stopIfTrue="1" operator="greaterThan">
      <formula>1</formula>
    </cfRule>
  </conditionalFormatting>
  <conditionalFormatting sqref="F39:F40">
    <cfRule type="cellIs" dxfId="129" priority="45" stopIfTrue="1" operator="greaterThan">
      <formula>1</formula>
    </cfRule>
  </conditionalFormatting>
  <conditionalFormatting sqref="H39:H40">
    <cfRule type="cellIs" dxfId="128" priority="44" stopIfTrue="1" operator="greaterThan">
      <formula>1</formula>
    </cfRule>
  </conditionalFormatting>
  <conditionalFormatting sqref="J39:J40">
    <cfRule type="cellIs" dxfId="127" priority="43" stopIfTrue="1" operator="greaterThan">
      <formula>1</formula>
    </cfRule>
  </conditionalFormatting>
  <conditionalFormatting sqref="D17">
    <cfRule type="cellIs" dxfId="126" priority="42" stopIfTrue="1" operator="greaterThan">
      <formula>1</formula>
    </cfRule>
  </conditionalFormatting>
  <conditionalFormatting sqref="G17">
    <cfRule type="cellIs" dxfId="125" priority="41" stopIfTrue="1" operator="greaterThan">
      <formula>1</formula>
    </cfRule>
  </conditionalFormatting>
  <conditionalFormatting sqref="J17">
    <cfRule type="cellIs" dxfId="124" priority="40" stopIfTrue="1" operator="greaterThan">
      <formula>1</formula>
    </cfRule>
  </conditionalFormatting>
  <conditionalFormatting sqref="F52:F56">
    <cfRule type="cellIs" dxfId="123" priority="39" stopIfTrue="1" operator="greaterThan">
      <formula>1</formula>
    </cfRule>
  </conditionalFormatting>
  <conditionalFormatting sqref="H52:H56">
    <cfRule type="cellIs" dxfId="122" priority="38" stopIfTrue="1" operator="greaterThan">
      <formula>1</formula>
    </cfRule>
  </conditionalFormatting>
  <conditionalFormatting sqref="J52:J56">
    <cfRule type="cellIs" dxfId="121" priority="37" stopIfTrue="1" operator="greaterThan">
      <formula>1</formula>
    </cfRule>
  </conditionalFormatting>
  <conditionalFormatting sqref="J58 H58 F58">
    <cfRule type="cellIs" dxfId="120" priority="36" stopIfTrue="1" operator="greaterThan">
      <formula>1</formula>
    </cfRule>
  </conditionalFormatting>
  <conditionalFormatting sqref="F60:F64">
    <cfRule type="cellIs" dxfId="119" priority="35" stopIfTrue="1" operator="greaterThan">
      <formula>1</formula>
    </cfRule>
  </conditionalFormatting>
  <conditionalFormatting sqref="H60:H64">
    <cfRule type="cellIs" dxfId="118" priority="34" stopIfTrue="1" operator="greaterThan">
      <formula>1</formula>
    </cfRule>
  </conditionalFormatting>
  <conditionalFormatting sqref="J60:J64">
    <cfRule type="cellIs" dxfId="117" priority="33" stopIfTrue="1" operator="greaterThan">
      <formula>1</formula>
    </cfRule>
  </conditionalFormatting>
  <conditionalFormatting sqref="F66:F70">
    <cfRule type="cellIs" dxfId="116" priority="32" stopIfTrue="1" operator="greaterThan">
      <formula>1</formula>
    </cfRule>
  </conditionalFormatting>
  <conditionalFormatting sqref="H66:H70">
    <cfRule type="cellIs" dxfId="115" priority="31" stopIfTrue="1" operator="greaterThan">
      <formula>1</formula>
    </cfRule>
  </conditionalFormatting>
  <conditionalFormatting sqref="J66:J70">
    <cfRule type="cellIs" dxfId="114" priority="30" stopIfTrue="1" operator="greaterThan">
      <formula>1</formula>
    </cfRule>
  </conditionalFormatting>
  <conditionalFormatting sqref="F72:F76">
    <cfRule type="cellIs" dxfId="113" priority="29" stopIfTrue="1" operator="greaterThan">
      <formula>1</formula>
    </cfRule>
  </conditionalFormatting>
  <conditionalFormatting sqref="H72:H76">
    <cfRule type="cellIs" dxfId="112" priority="28" stopIfTrue="1" operator="greaterThan">
      <formula>1</formula>
    </cfRule>
  </conditionalFormatting>
  <conditionalFormatting sqref="J72:J76">
    <cfRule type="cellIs" dxfId="111" priority="27" stopIfTrue="1" operator="greaterThan">
      <formula>1</formula>
    </cfRule>
  </conditionalFormatting>
  <conditionalFormatting sqref="F78:F79">
    <cfRule type="cellIs" dxfId="110" priority="26" stopIfTrue="1" operator="greaterThan">
      <formula>1</formula>
    </cfRule>
  </conditionalFormatting>
  <conditionalFormatting sqref="H78:H79">
    <cfRule type="cellIs" dxfId="109" priority="25" stopIfTrue="1" operator="greaterThan">
      <formula>1</formula>
    </cfRule>
  </conditionalFormatting>
  <conditionalFormatting sqref="J78:J79">
    <cfRule type="cellIs" dxfId="108" priority="24" stopIfTrue="1" operator="greaterThan">
      <formula>1</formula>
    </cfRule>
  </conditionalFormatting>
  <conditionalFormatting sqref="F91:F95">
    <cfRule type="cellIs" dxfId="107" priority="23" stopIfTrue="1" operator="greaterThan">
      <formula>1</formula>
    </cfRule>
  </conditionalFormatting>
  <conditionalFormatting sqref="H91:H95">
    <cfRule type="cellIs" dxfId="106" priority="22" stopIfTrue="1" operator="greaterThan">
      <formula>1</formula>
    </cfRule>
  </conditionalFormatting>
  <conditionalFormatting sqref="J91:J95">
    <cfRule type="cellIs" dxfId="105" priority="21" stopIfTrue="1" operator="greaterThan">
      <formula>1</formula>
    </cfRule>
  </conditionalFormatting>
  <conditionalFormatting sqref="J97 H97 F97">
    <cfRule type="cellIs" dxfId="104" priority="20" stopIfTrue="1" operator="greaterThan">
      <formula>1</formula>
    </cfRule>
  </conditionalFormatting>
  <conditionalFormatting sqref="F99:F103">
    <cfRule type="cellIs" dxfId="103" priority="19" stopIfTrue="1" operator="greaterThan">
      <formula>1</formula>
    </cfRule>
  </conditionalFormatting>
  <conditionalFormatting sqref="H99:H103">
    <cfRule type="cellIs" dxfId="102" priority="18" stopIfTrue="1" operator="greaterThan">
      <formula>1</formula>
    </cfRule>
  </conditionalFormatting>
  <conditionalFormatting sqref="J99:J103">
    <cfRule type="cellIs" dxfId="101" priority="17" stopIfTrue="1" operator="greaterThan">
      <formula>1</formula>
    </cfRule>
  </conditionalFormatting>
  <conditionalFormatting sqref="F105:F109">
    <cfRule type="cellIs" dxfId="100" priority="16" stopIfTrue="1" operator="greaterThan">
      <formula>1</formula>
    </cfRule>
  </conditionalFormatting>
  <conditionalFormatting sqref="H105:H109">
    <cfRule type="cellIs" dxfId="99" priority="15" stopIfTrue="1" operator="greaterThan">
      <formula>1</formula>
    </cfRule>
  </conditionalFormatting>
  <conditionalFormatting sqref="J105:J109">
    <cfRule type="cellIs" dxfId="98" priority="14" stopIfTrue="1" operator="greaterThan">
      <formula>1</formula>
    </cfRule>
  </conditionalFormatting>
  <conditionalFormatting sqref="F111:F115">
    <cfRule type="cellIs" dxfId="97" priority="13" stopIfTrue="1" operator="greaterThan">
      <formula>1</formula>
    </cfRule>
  </conditionalFormatting>
  <conditionalFormatting sqref="H111:H115">
    <cfRule type="cellIs" dxfId="96" priority="12" stopIfTrue="1" operator="greaterThan">
      <formula>1</formula>
    </cfRule>
  </conditionalFormatting>
  <conditionalFormatting sqref="J111:J115">
    <cfRule type="cellIs" dxfId="95" priority="11" stopIfTrue="1" operator="greaterThan">
      <formula>1</formula>
    </cfRule>
  </conditionalFormatting>
  <conditionalFormatting sqref="F117:F118">
    <cfRule type="cellIs" dxfId="94" priority="10" stopIfTrue="1" operator="greaterThan">
      <formula>1</formula>
    </cfRule>
  </conditionalFormatting>
  <conditionalFormatting sqref="H117:H118">
    <cfRule type="cellIs" dxfId="93" priority="9" stopIfTrue="1" operator="greaterThan">
      <formula>1</formula>
    </cfRule>
  </conditionalFormatting>
  <conditionalFormatting sqref="J117:J118">
    <cfRule type="cellIs" dxfId="92" priority="8" stopIfTrue="1" operator="greaterThan">
      <formula>1</formula>
    </cfRule>
  </conditionalFormatting>
  <conditionalFormatting sqref="F130:F134">
    <cfRule type="cellIs" dxfId="91" priority="7" stopIfTrue="1" operator="greaterThan">
      <formula>1</formula>
    </cfRule>
  </conditionalFormatting>
  <conditionalFormatting sqref="J130:J134 H130:H134">
    <cfRule type="cellIs" dxfId="90" priority="6" stopIfTrue="1" operator="greaterThan">
      <formula>1</formula>
    </cfRule>
  </conditionalFormatting>
  <conditionalFormatting sqref="J136:J140 H136:H140 F136:F140">
    <cfRule type="cellIs" dxfId="89" priority="5" stopIfTrue="1" operator="greaterThan">
      <formula>1</formula>
    </cfRule>
  </conditionalFormatting>
  <conditionalFormatting sqref="J142:J146 H142:H146 F142:F146">
    <cfRule type="cellIs" dxfId="88" priority="4" stopIfTrue="1" operator="greaterThan">
      <formula>1</formula>
    </cfRule>
  </conditionalFormatting>
  <conditionalFormatting sqref="J148:J152 H148:H152 F148:F152">
    <cfRule type="cellIs" dxfId="87" priority="3" stopIfTrue="1" operator="greaterThan">
      <formula>1</formula>
    </cfRule>
  </conditionalFormatting>
  <conditionalFormatting sqref="J154:J158 H154:H158 F154:F158">
    <cfRule type="cellIs" dxfId="86" priority="2" stopIfTrue="1" operator="greaterThan">
      <formula>1</formula>
    </cfRule>
  </conditionalFormatting>
  <conditionalFormatting sqref="J160:J161 H160:H161 F160:F161">
    <cfRule type="cellIs" dxfId="85" priority="1" stopIfTrue="1" operator="greaterThan">
      <formula>1</formula>
    </cfRule>
  </conditionalFormatting>
  <dataValidations count="1">
    <dataValidation type="whole" allowBlank="1" showInputMessage="1" showErrorMessage="1" sqref="C37 G37 E29 I37 G29 C29 I29 E37">
      <formula1>0</formula1>
      <formula2>10000</formula2>
    </dataValidation>
  </dataValidations>
  <hyperlinks>
    <hyperlink ref="E2" location="Início!A1" display="Início"/>
    <hyperlink ref="I2" location="'2_Av I'!A1" display="Seguinte"/>
    <hyperlink ref="G2" location="'Atualização de dados'!A1" display="Anterior"/>
  </hyperlinks>
  <printOptions horizontalCentered="1"/>
  <pageMargins left="0.35433070866141736" right="0.35433070866141736" top="0.9055118110236221" bottom="1.299212598425197" header="0.35433070866141736" footer="0.35433070866141736"/>
  <pageSetup paperSize="9" scale="95" orientation="portrait" r:id="rId1"/>
  <headerFooter alignWithMargins="0">
    <oddHeader>&amp;C&amp;"Calibri,Negrito"&amp;16Relatório TEIP 2015/2016</oddHeader>
    <oddFooter>&amp;RPág.&amp;P de &amp;N da secção 1</oddFooter>
  </headerFooter>
  <rowBreaks count="3" manualBreakCount="3">
    <brk id="45" max="16383" man="1"/>
    <brk id="84" max="16383" man="1"/>
    <brk id="12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pageSetUpPr fitToPage="1"/>
  </sheetPr>
  <dimension ref="A1:AE64"/>
  <sheetViews>
    <sheetView showGridLines="0" topLeftCell="A43" workbookViewId="0">
      <selection activeCell="A25" sqref="A25:AA25"/>
    </sheetView>
  </sheetViews>
  <sheetFormatPr defaultRowHeight="12.75" x14ac:dyDescent="0.2"/>
  <cols>
    <col min="1" max="1" width="12.42578125" customWidth="1"/>
    <col min="2" max="27" width="9.42578125" customWidth="1"/>
    <col min="28" max="29" width="9.140625" hidden="1" customWidth="1"/>
    <col min="30" max="33" width="9.140625" customWidth="1"/>
  </cols>
  <sheetData>
    <row r="1" spans="1:31" s="13" customFormat="1" ht="29.25" customHeight="1" x14ac:dyDescent="0.2">
      <c r="A1" s="28" t="str">
        <f>IF(Início!B6&lt;&gt;"",Início!B6,"")</f>
        <v>Agrupamento de Escolas Maximinos</v>
      </c>
      <c r="B1" s="30"/>
      <c r="C1" s="30"/>
      <c r="D1" s="30"/>
      <c r="E1" s="30"/>
      <c r="F1" s="30"/>
      <c r="G1" s="31"/>
      <c r="H1" s="31"/>
      <c r="I1" s="31"/>
      <c r="J1" s="31"/>
      <c r="K1" s="31"/>
      <c r="L1" s="31"/>
      <c r="M1" s="31"/>
      <c r="N1" s="31"/>
      <c r="O1" s="434">
        <f>IF(Início!G5&gt;0,Início!G5,"")</f>
        <v>303089</v>
      </c>
      <c r="P1" s="420"/>
      <c r="Q1" s="31"/>
      <c r="R1" s="104"/>
      <c r="S1" s="105"/>
      <c r="T1" s="434" t="str">
        <f>IF(Início!L5&gt;0,Início!L5,"")</f>
        <v/>
      </c>
      <c r="U1" s="434"/>
      <c r="V1" s="434"/>
      <c r="W1" s="434"/>
      <c r="X1" s="434"/>
      <c r="Y1" s="434"/>
      <c r="Z1" s="434"/>
      <c r="AA1" s="434"/>
      <c r="AB1" s="13">
        <f>O1</f>
        <v>303089</v>
      </c>
    </row>
    <row r="2" spans="1:31" ht="13.5" customHeight="1" x14ac:dyDescent="0.2">
      <c r="A2" s="42"/>
      <c r="B2" s="42"/>
      <c r="C2" s="42"/>
      <c r="D2" s="42"/>
      <c r="E2" s="42"/>
      <c r="F2" s="42"/>
      <c r="M2" s="45"/>
      <c r="O2" s="45"/>
      <c r="P2" s="43"/>
      <c r="U2" s="106"/>
      <c r="W2" s="106"/>
      <c r="X2" s="106" t="s">
        <v>17</v>
      </c>
      <c r="Y2" s="46" t="s">
        <v>19</v>
      </c>
      <c r="Z2" s="106" t="s">
        <v>18</v>
      </c>
      <c r="AA2" s="106"/>
    </row>
    <row r="3" spans="1:31" s="87" customFormat="1" ht="30.75" customHeight="1" x14ac:dyDescent="0.2">
      <c r="A3" s="503" t="s">
        <v>229</v>
      </c>
      <c r="B3" s="503"/>
      <c r="C3" s="503"/>
      <c r="D3" s="503"/>
      <c r="E3" s="503"/>
      <c r="F3" s="503"/>
      <c r="G3" s="503"/>
      <c r="H3" s="503"/>
      <c r="I3" s="503"/>
      <c r="J3" s="503"/>
      <c r="K3" s="503"/>
      <c r="L3" s="503"/>
      <c r="M3" s="503"/>
      <c r="N3" s="503"/>
      <c r="O3" s="503"/>
      <c r="P3" s="503"/>
      <c r="Q3" s="503"/>
      <c r="R3" s="503"/>
      <c r="S3" s="503"/>
      <c r="T3" s="503"/>
      <c r="U3" s="503"/>
      <c r="V3" s="503"/>
      <c r="W3" s="162"/>
      <c r="X3" s="162"/>
      <c r="Y3" s="162"/>
      <c r="Z3" s="162"/>
      <c r="AA3" s="162"/>
      <c r="AD3" s="46"/>
    </row>
    <row r="4" spans="1:31" s="87" customFormat="1" ht="9.75" customHeight="1" x14ac:dyDescent="0.2">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row>
    <row r="5" spans="1:31" s="87" customFormat="1" ht="36" customHeight="1" x14ac:dyDescent="0.2">
      <c r="A5" s="503" t="s">
        <v>285</v>
      </c>
      <c r="B5" s="503"/>
      <c r="C5" s="503"/>
      <c r="D5" s="503"/>
      <c r="E5" s="503"/>
      <c r="F5" s="503"/>
      <c r="G5" s="503"/>
      <c r="H5" s="503"/>
      <c r="I5" s="503"/>
      <c r="J5" s="503"/>
      <c r="K5" s="503"/>
      <c r="L5" s="503"/>
      <c r="M5" s="503"/>
      <c r="N5" s="503"/>
      <c r="O5" s="503"/>
      <c r="P5" s="503"/>
      <c r="Q5" s="503"/>
      <c r="R5" s="503"/>
      <c r="S5" s="503"/>
      <c r="T5" s="503"/>
      <c r="U5" s="503"/>
      <c r="V5" s="503"/>
      <c r="W5" s="162"/>
      <c r="X5" s="162"/>
      <c r="Y5" s="162"/>
      <c r="Z5" s="162"/>
      <c r="AA5" s="162"/>
    </row>
    <row r="6" spans="1:31" ht="29.25" customHeight="1" x14ac:dyDescent="0.2">
      <c r="A6" s="522" t="s">
        <v>198</v>
      </c>
      <c r="B6" s="523"/>
      <c r="C6" s="523"/>
      <c r="D6" s="523"/>
      <c r="E6" s="523"/>
      <c r="F6" s="523"/>
      <c r="G6" s="523"/>
      <c r="H6" s="523"/>
      <c r="I6" s="523"/>
      <c r="J6" s="523"/>
      <c r="K6" s="523"/>
      <c r="L6" s="523"/>
      <c r="M6" s="523"/>
      <c r="N6" s="523"/>
      <c r="O6" s="523"/>
      <c r="P6" s="523"/>
    </row>
    <row r="7" spans="1:31" s="209" customFormat="1" ht="17.25" customHeight="1" x14ac:dyDescent="0.2">
      <c r="A7" s="496" t="s">
        <v>0</v>
      </c>
      <c r="B7" s="514" t="s">
        <v>169</v>
      </c>
      <c r="C7" s="515"/>
      <c r="D7" s="515"/>
      <c r="E7" s="515"/>
      <c r="F7" s="515"/>
      <c r="G7" s="514" t="s">
        <v>60</v>
      </c>
      <c r="H7" s="515"/>
      <c r="I7" s="515"/>
      <c r="J7" s="515"/>
      <c r="K7" s="515"/>
      <c r="L7" s="514" t="s">
        <v>129</v>
      </c>
      <c r="M7" s="515"/>
      <c r="N7" s="515"/>
      <c r="O7" s="515"/>
      <c r="P7" s="515"/>
      <c r="Q7" s="514" t="s">
        <v>164</v>
      </c>
      <c r="R7" s="515"/>
      <c r="S7" s="515"/>
      <c r="T7" s="515"/>
      <c r="U7" s="515"/>
      <c r="V7" s="519" t="s">
        <v>203</v>
      </c>
      <c r="W7" s="520"/>
      <c r="X7" s="520"/>
      <c r="Y7" s="520"/>
      <c r="Z7" s="520"/>
      <c r="AA7" s="521"/>
      <c r="AE7" s="132"/>
    </row>
    <row r="8" spans="1:31" s="209" customFormat="1" ht="17.25" customHeight="1" x14ac:dyDescent="0.2">
      <c r="A8" s="516"/>
      <c r="B8" s="496" t="s">
        <v>10</v>
      </c>
      <c r="C8" s="498" t="s">
        <v>170</v>
      </c>
      <c r="D8" s="506"/>
      <c r="E8" s="506"/>
      <c r="F8" s="499"/>
      <c r="G8" s="496" t="s">
        <v>10</v>
      </c>
      <c r="H8" s="498" t="s">
        <v>170</v>
      </c>
      <c r="I8" s="506"/>
      <c r="J8" s="506"/>
      <c r="K8" s="499"/>
      <c r="L8" s="496" t="s">
        <v>10</v>
      </c>
      <c r="M8" s="498" t="s">
        <v>170</v>
      </c>
      <c r="N8" s="506"/>
      <c r="O8" s="506"/>
      <c r="P8" s="499"/>
      <c r="Q8" s="496" t="s">
        <v>10</v>
      </c>
      <c r="R8" s="498" t="s">
        <v>170</v>
      </c>
      <c r="S8" s="506"/>
      <c r="T8" s="506"/>
      <c r="U8" s="499"/>
      <c r="V8" s="493" t="s">
        <v>216</v>
      </c>
      <c r="W8" s="494"/>
      <c r="X8" s="529"/>
      <c r="Y8" s="493" t="s">
        <v>23</v>
      </c>
      <c r="Z8" s="494"/>
      <c r="AA8" s="483"/>
    </row>
    <row r="9" spans="1:31" s="209" customFormat="1" ht="30.75" customHeight="1" x14ac:dyDescent="0.2">
      <c r="A9" s="524"/>
      <c r="B9" s="516"/>
      <c r="C9" s="493" t="s">
        <v>31</v>
      </c>
      <c r="D9" s="495"/>
      <c r="E9" s="517" t="s">
        <v>23</v>
      </c>
      <c r="F9" s="518"/>
      <c r="G9" s="516"/>
      <c r="H9" s="493" t="s">
        <v>31</v>
      </c>
      <c r="I9" s="495"/>
      <c r="J9" s="517" t="s">
        <v>23</v>
      </c>
      <c r="K9" s="518"/>
      <c r="L9" s="516"/>
      <c r="M9" s="493" t="s">
        <v>31</v>
      </c>
      <c r="N9" s="495"/>
      <c r="O9" s="517" t="s">
        <v>23</v>
      </c>
      <c r="P9" s="518"/>
      <c r="Q9" s="516"/>
      <c r="R9" s="493" t="s">
        <v>31</v>
      </c>
      <c r="S9" s="495"/>
      <c r="T9" s="517" t="s">
        <v>23</v>
      </c>
      <c r="U9" s="518"/>
      <c r="V9" s="496" t="s">
        <v>255</v>
      </c>
      <c r="W9" s="498" t="s">
        <v>280</v>
      </c>
      <c r="X9" s="528"/>
      <c r="Y9" s="496" t="s">
        <v>10</v>
      </c>
      <c r="Z9" s="498" t="s">
        <v>280</v>
      </c>
      <c r="AA9" s="528"/>
    </row>
    <row r="10" spans="1:31" s="212" customFormat="1" ht="12" customHeight="1" x14ac:dyDescent="0.2">
      <c r="A10" s="525"/>
      <c r="B10" s="497"/>
      <c r="C10" s="229" t="s">
        <v>21</v>
      </c>
      <c r="D10" s="230" t="s">
        <v>22</v>
      </c>
      <c r="E10" s="229" t="s">
        <v>21</v>
      </c>
      <c r="F10" s="231" t="s">
        <v>22</v>
      </c>
      <c r="G10" s="497"/>
      <c r="H10" s="229" t="s">
        <v>21</v>
      </c>
      <c r="I10" s="230" t="s">
        <v>22</v>
      </c>
      <c r="J10" s="229" t="s">
        <v>21</v>
      </c>
      <c r="K10" s="231" t="s">
        <v>22</v>
      </c>
      <c r="L10" s="497"/>
      <c r="M10" s="229" t="s">
        <v>21</v>
      </c>
      <c r="N10" s="230" t="s">
        <v>22</v>
      </c>
      <c r="O10" s="229" t="s">
        <v>21</v>
      </c>
      <c r="P10" s="231" t="s">
        <v>22</v>
      </c>
      <c r="Q10" s="497"/>
      <c r="R10" s="229" t="s">
        <v>21</v>
      </c>
      <c r="S10" s="230" t="s">
        <v>22</v>
      </c>
      <c r="T10" s="229" t="s">
        <v>21</v>
      </c>
      <c r="U10" s="231" t="s">
        <v>22</v>
      </c>
      <c r="V10" s="497"/>
      <c r="W10" s="232" t="s">
        <v>21</v>
      </c>
      <c r="X10" s="230" t="s">
        <v>22</v>
      </c>
      <c r="Y10" s="497"/>
      <c r="Z10" s="229" t="s">
        <v>21</v>
      </c>
      <c r="AA10" s="231" t="s">
        <v>22</v>
      </c>
    </row>
    <row r="11" spans="1:31" s="209" customFormat="1" ht="17.25" customHeight="1" x14ac:dyDescent="0.2">
      <c r="A11" s="213" t="s">
        <v>6</v>
      </c>
      <c r="B11" s="206">
        <v>128</v>
      </c>
      <c r="C11" s="234">
        <v>103</v>
      </c>
      <c r="D11" s="233">
        <f>IF(AND(B11&gt;0,C11&lt;&gt;""),C11/$B11,"")</f>
        <v>0.8046875</v>
      </c>
      <c r="E11" s="234">
        <v>102</v>
      </c>
      <c r="F11" s="233">
        <f>IF(AND($B11&gt;0,E11&lt;&gt;""),E11/$B11,"")</f>
        <v>0.796875</v>
      </c>
      <c r="G11" s="206">
        <v>122</v>
      </c>
      <c r="H11" s="206">
        <v>109</v>
      </c>
      <c r="I11" s="233">
        <f>IF(AND(G11&gt;0,H11&lt;&gt;""),H11/G11,"")</f>
        <v>0.89344262295081966</v>
      </c>
      <c r="J11" s="206">
        <v>110</v>
      </c>
      <c r="K11" s="233">
        <f>IF(AND(G11&gt;0,J11&lt;&gt;""),J11/G11,"")</f>
        <v>0.90163934426229508</v>
      </c>
      <c r="L11" s="206">
        <v>98</v>
      </c>
      <c r="M11" s="206">
        <v>81</v>
      </c>
      <c r="N11" s="233">
        <f>IF(AND(L11&gt;0,M11&lt;&gt;""),M11/L11,"")</f>
        <v>0.82653061224489799</v>
      </c>
      <c r="O11" s="206">
        <v>82</v>
      </c>
      <c r="P11" s="233">
        <f>IF(AND(L11&gt;0,O11&lt;&gt;""),O11/L11,"")</f>
        <v>0.83673469387755106</v>
      </c>
      <c r="Q11" s="206">
        <v>100</v>
      </c>
      <c r="R11" s="206">
        <v>80</v>
      </c>
      <c r="S11" s="233">
        <f>IF(AND(Q11&gt;0,R11&lt;&gt;""),R11/Q11,"")</f>
        <v>0.8</v>
      </c>
      <c r="T11" s="206">
        <v>85</v>
      </c>
      <c r="U11" s="233">
        <f>IF(AND(Q11&gt;0,T11&lt;&gt;""),T11/Q11,"")</f>
        <v>0.85</v>
      </c>
      <c r="V11" s="171">
        <v>98</v>
      </c>
      <c r="W11" s="171">
        <v>82</v>
      </c>
      <c r="X11" s="233">
        <f t="shared" ref="X11:X18" si="0">IF(AND(V11&gt;0,W11&lt;&gt;""),W11/V11,"")</f>
        <v>0.83673469387755106</v>
      </c>
      <c r="Y11" s="171">
        <v>98</v>
      </c>
      <c r="Z11" s="171">
        <v>88</v>
      </c>
      <c r="AA11" s="233">
        <f t="shared" ref="AA11:AA22" si="1">IF(AND(Y11&gt;0,Z11&lt;&gt;""),Z11/Y11,"")</f>
        <v>0.89795918367346939</v>
      </c>
      <c r="AB11" s="226">
        <v>1</v>
      </c>
    </row>
    <row r="12" spans="1:31" s="209" customFormat="1" ht="17.25" customHeight="1" x14ac:dyDescent="0.2">
      <c r="A12" s="213" t="s">
        <v>7</v>
      </c>
      <c r="B12" s="206">
        <v>165</v>
      </c>
      <c r="C12" s="234">
        <v>140</v>
      </c>
      <c r="D12" s="233">
        <f t="shared" ref="D12:D19" si="2">IF(AND(B12&gt;0,C12&lt;&gt;""),C12/$B12,"")</f>
        <v>0.84848484848484851</v>
      </c>
      <c r="E12" s="234">
        <v>138</v>
      </c>
      <c r="F12" s="233">
        <f t="shared" ref="F12:F19" si="3">IF(AND($B12&gt;0,E12&lt;&gt;""),E12/$B12,"")</f>
        <v>0.83636363636363631</v>
      </c>
      <c r="G12" s="206">
        <v>134</v>
      </c>
      <c r="H12" s="206">
        <v>116</v>
      </c>
      <c r="I12" s="233">
        <f t="shared" ref="I12:I19" si="4">IF(AND(G12&gt;0,H12&lt;&gt;""),H12/G12,"")</f>
        <v>0.86567164179104472</v>
      </c>
      <c r="J12" s="206">
        <v>113</v>
      </c>
      <c r="K12" s="233">
        <f t="shared" ref="K12:K18" si="5">IF(AND(G12&gt;0,J12&lt;&gt;""),J12/G12,"")</f>
        <v>0.84328358208955223</v>
      </c>
      <c r="L12" s="206">
        <v>134</v>
      </c>
      <c r="M12" s="206">
        <v>110</v>
      </c>
      <c r="N12" s="233">
        <f t="shared" ref="N12:N19" si="6">IF(AND(L12&gt;0,M12&lt;&gt;""),M12/L12,"")</f>
        <v>0.82089552238805974</v>
      </c>
      <c r="O12" s="206">
        <v>113</v>
      </c>
      <c r="P12" s="233">
        <f t="shared" ref="P12:P18" si="7">IF(AND(L12&gt;0,O12&lt;&gt;""),O12/L12,"")</f>
        <v>0.84328358208955223</v>
      </c>
      <c r="Q12" s="206">
        <v>109</v>
      </c>
      <c r="R12" s="206">
        <v>85</v>
      </c>
      <c r="S12" s="233">
        <f t="shared" ref="S12:S22" si="8">IF(AND(Q12&gt;0,R12&lt;&gt;""),R12/Q12,"")</f>
        <v>0.77981651376146788</v>
      </c>
      <c r="T12" s="206">
        <v>84</v>
      </c>
      <c r="U12" s="233">
        <f t="shared" ref="U12:U18" si="9">IF(AND(Q12&gt;0,T12&lt;&gt;""),T12/Q12,"")</f>
        <v>0.77064220183486243</v>
      </c>
      <c r="V12" s="171">
        <v>112</v>
      </c>
      <c r="W12" s="171">
        <v>96</v>
      </c>
      <c r="X12" s="233">
        <f t="shared" si="0"/>
        <v>0.8571428571428571</v>
      </c>
      <c r="Y12" s="171">
        <v>112</v>
      </c>
      <c r="Z12" s="171">
        <v>81</v>
      </c>
      <c r="AA12" s="233">
        <f t="shared" si="1"/>
        <v>0.7232142857142857</v>
      </c>
      <c r="AB12" s="226">
        <v>2</v>
      </c>
    </row>
    <row r="13" spans="1:31" s="209" customFormat="1" ht="17.25" customHeight="1" x14ac:dyDescent="0.2">
      <c r="A13" s="213" t="s">
        <v>8</v>
      </c>
      <c r="B13" s="206">
        <v>176</v>
      </c>
      <c r="C13" s="234">
        <v>171</v>
      </c>
      <c r="D13" s="233">
        <f t="shared" si="2"/>
        <v>0.97159090909090906</v>
      </c>
      <c r="E13" s="234">
        <v>154</v>
      </c>
      <c r="F13" s="233">
        <f t="shared" si="3"/>
        <v>0.875</v>
      </c>
      <c r="G13" s="206">
        <v>147</v>
      </c>
      <c r="H13" s="206">
        <v>119</v>
      </c>
      <c r="I13" s="233">
        <f t="shared" si="4"/>
        <v>0.80952380952380953</v>
      </c>
      <c r="J13" s="206">
        <v>114</v>
      </c>
      <c r="K13" s="233">
        <f t="shared" si="5"/>
        <v>0.77551020408163263</v>
      </c>
      <c r="L13" s="206">
        <v>134</v>
      </c>
      <c r="M13" s="206">
        <v>116</v>
      </c>
      <c r="N13" s="233">
        <f t="shared" si="6"/>
        <v>0.86567164179104472</v>
      </c>
      <c r="O13" s="206">
        <v>103</v>
      </c>
      <c r="P13" s="233">
        <f t="shared" si="7"/>
        <v>0.76865671641791045</v>
      </c>
      <c r="Q13" s="206">
        <v>128</v>
      </c>
      <c r="R13" s="206">
        <v>122</v>
      </c>
      <c r="S13" s="233">
        <f t="shared" si="8"/>
        <v>0.953125</v>
      </c>
      <c r="T13" s="206">
        <v>104</v>
      </c>
      <c r="U13" s="233">
        <f t="shared" si="9"/>
        <v>0.8125</v>
      </c>
      <c r="V13" s="171">
        <v>101</v>
      </c>
      <c r="W13" s="171">
        <v>88</v>
      </c>
      <c r="X13" s="233">
        <f t="shared" si="0"/>
        <v>0.87128712871287128</v>
      </c>
      <c r="Y13" s="171">
        <v>101</v>
      </c>
      <c r="Z13" s="171">
        <v>84</v>
      </c>
      <c r="AA13" s="233">
        <f t="shared" si="1"/>
        <v>0.83168316831683164</v>
      </c>
      <c r="AB13" s="226">
        <v>3</v>
      </c>
    </row>
    <row r="14" spans="1:31" s="209" customFormat="1" ht="17.25" customHeight="1" x14ac:dyDescent="0.2">
      <c r="A14" s="213" t="s">
        <v>9</v>
      </c>
      <c r="B14" s="206">
        <v>177</v>
      </c>
      <c r="C14" s="234">
        <v>169</v>
      </c>
      <c r="D14" s="233">
        <f t="shared" si="2"/>
        <v>0.95480225988700562</v>
      </c>
      <c r="E14" s="234">
        <v>163</v>
      </c>
      <c r="F14" s="233">
        <f t="shared" si="3"/>
        <v>0.92090395480225984</v>
      </c>
      <c r="G14" s="206">
        <v>177</v>
      </c>
      <c r="H14" s="206">
        <v>147</v>
      </c>
      <c r="I14" s="233">
        <f t="shared" si="4"/>
        <v>0.83050847457627119</v>
      </c>
      <c r="J14" s="206">
        <v>132</v>
      </c>
      <c r="K14" s="233">
        <f t="shared" si="5"/>
        <v>0.74576271186440679</v>
      </c>
      <c r="L14" s="206">
        <v>131</v>
      </c>
      <c r="M14" s="206">
        <v>116</v>
      </c>
      <c r="N14" s="233">
        <f t="shared" si="6"/>
        <v>0.8854961832061069</v>
      </c>
      <c r="O14" s="206">
        <v>108</v>
      </c>
      <c r="P14" s="233">
        <f t="shared" si="7"/>
        <v>0.82442748091603058</v>
      </c>
      <c r="Q14" s="206">
        <v>120</v>
      </c>
      <c r="R14" s="206">
        <v>113</v>
      </c>
      <c r="S14" s="233">
        <f t="shared" si="8"/>
        <v>0.94166666666666665</v>
      </c>
      <c r="T14" s="206">
        <v>101</v>
      </c>
      <c r="U14" s="233">
        <f t="shared" si="9"/>
        <v>0.84166666666666667</v>
      </c>
      <c r="V14" s="171">
        <v>130</v>
      </c>
      <c r="W14" s="171">
        <v>123</v>
      </c>
      <c r="X14" s="233">
        <f t="shared" si="0"/>
        <v>0.94615384615384612</v>
      </c>
      <c r="Y14" s="171">
        <v>130</v>
      </c>
      <c r="Z14" s="171">
        <v>109</v>
      </c>
      <c r="AA14" s="233">
        <f t="shared" si="1"/>
        <v>0.83846153846153848</v>
      </c>
      <c r="AB14" s="226">
        <v>4</v>
      </c>
    </row>
    <row r="15" spans="1:31" s="209" customFormat="1" ht="17.25" customHeight="1" x14ac:dyDescent="0.2">
      <c r="A15" s="213" t="s">
        <v>1</v>
      </c>
      <c r="B15" s="206">
        <v>186</v>
      </c>
      <c r="C15" s="234">
        <v>160</v>
      </c>
      <c r="D15" s="233">
        <f t="shared" si="2"/>
        <v>0.86021505376344087</v>
      </c>
      <c r="E15" s="234">
        <v>140</v>
      </c>
      <c r="F15" s="233">
        <f t="shared" si="3"/>
        <v>0.75268817204301075</v>
      </c>
      <c r="G15" s="206">
        <v>198</v>
      </c>
      <c r="H15" s="206">
        <v>160</v>
      </c>
      <c r="I15" s="233">
        <f t="shared" si="4"/>
        <v>0.80808080808080807</v>
      </c>
      <c r="J15" s="206">
        <v>156</v>
      </c>
      <c r="K15" s="233">
        <f t="shared" si="5"/>
        <v>0.78787878787878785</v>
      </c>
      <c r="L15" s="206">
        <v>167</v>
      </c>
      <c r="M15" s="206">
        <v>129</v>
      </c>
      <c r="N15" s="233">
        <f t="shared" si="6"/>
        <v>0.77245508982035926</v>
      </c>
      <c r="O15" s="206">
        <v>107</v>
      </c>
      <c r="P15" s="233">
        <f t="shared" si="7"/>
        <v>0.64071856287425155</v>
      </c>
      <c r="Q15" s="206">
        <v>139</v>
      </c>
      <c r="R15" s="206">
        <v>107</v>
      </c>
      <c r="S15" s="233">
        <f t="shared" si="8"/>
        <v>0.76978417266187049</v>
      </c>
      <c r="T15" s="206">
        <v>97</v>
      </c>
      <c r="U15" s="233">
        <f t="shared" si="9"/>
        <v>0.69784172661870503</v>
      </c>
      <c r="V15" s="171">
        <v>111</v>
      </c>
      <c r="W15" s="171">
        <v>89</v>
      </c>
      <c r="X15" s="233">
        <f t="shared" si="0"/>
        <v>0.80180180180180183</v>
      </c>
      <c r="Y15" s="171">
        <v>111</v>
      </c>
      <c r="Z15" s="171">
        <v>80</v>
      </c>
      <c r="AA15" s="233">
        <f t="shared" si="1"/>
        <v>0.72072072072072069</v>
      </c>
      <c r="AB15" s="226">
        <v>5</v>
      </c>
    </row>
    <row r="16" spans="1:31" s="209" customFormat="1" ht="17.25" customHeight="1" x14ac:dyDescent="0.2">
      <c r="A16" s="213" t="s">
        <v>2</v>
      </c>
      <c r="B16" s="206">
        <v>197</v>
      </c>
      <c r="C16" s="234">
        <v>154</v>
      </c>
      <c r="D16" s="233">
        <f t="shared" si="2"/>
        <v>0.78172588832487311</v>
      </c>
      <c r="E16" s="234">
        <v>140</v>
      </c>
      <c r="F16" s="233">
        <f t="shared" si="3"/>
        <v>0.71065989847715738</v>
      </c>
      <c r="G16" s="206">
        <v>198</v>
      </c>
      <c r="H16" s="206">
        <v>171</v>
      </c>
      <c r="I16" s="233">
        <f t="shared" si="4"/>
        <v>0.86363636363636365</v>
      </c>
      <c r="J16" s="206">
        <v>137</v>
      </c>
      <c r="K16" s="233">
        <f t="shared" si="5"/>
        <v>0.69191919191919193</v>
      </c>
      <c r="L16" s="206">
        <v>203</v>
      </c>
      <c r="M16" s="206">
        <v>159</v>
      </c>
      <c r="N16" s="233">
        <f t="shared" si="6"/>
        <v>0.78325123152709364</v>
      </c>
      <c r="O16" s="206">
        <v>141</v>
      </c>
      <c r="P16" s="233">
        <f t="shared" si="7"/>
        <v>0.69458128078817738</v>
      </c>
      <c r="Q16" s="206">
        <v>163</v>
      </c>
      <c r="R16" s="206">
        <v>139</v>
      </c>
      <c r="S16" s="233">
        <f t="shared" si="8"/>
        <v>0.85276073619631898</v>
      </c>
      <c r="T16" s="206">
        <v>120</v>
      </c>
      <c r="U16" s="233">
        <f t="shared" si="9"/>
        <v>0.73619631901840488</v>
      </c>
      <c r="V16" s="171">
        <v>135</v>
      </c>
      <c r="W16" s="171">
        <v>124</v>
      </c>
      <c r="X16" s="233">
        <f t="shared" si="0"/>
        <v>0.91851851851851851</v>
      </c>
      <c r="Y16" s="171">
        <v>135</v>
      </c>
      <c r="Z16" s="171">
        <v>86</v>
      </c>
      <c r="AA16" s="233">
        <f t="shared" si="1"/>
        <v>0.63703703703703707</v>
      </c>
      <c r="AB16" s="226">
        <v>6</v>
      </c>
    </row>
    <row r="17" spans="1:30" s="209" customFormat="1" ht="17.25" customHeight="1" x14ac:dyDescent="0.2">
      <c r="A17" s="213" t="s">
        <v>3</v>
      </c>
      <c r="B17" s="206">
        <v>120</v>
      </c>
      <c r="C17" s="234">
        <v>86</v>
      </c>
      <c r="D17" s="233">
        <f t="shared" si="2"/>
        <v>0.71666666666666667</v>
      </c>
      <c r="E17" s="234">
        <v>70</v>
      </c>
      <c r="F17" s="233">
        <f t="shared" si="3"/>
        <v>0.58333333333333337</v>
      </c>
      <c r="G17" s="206">
        <v>178</v>
      </c>
      <c r="H17" s="206">
        <v>153</v>
      </c>
      <c r="I17" s="233">
        <f t="shared" si="4"/>
        <v>0.8595505617977528</v>
      </c>
      <c r="J17" s="206">
        <v>132</v>
      </c>
      <c r="K17" s="233">
        <f t="shared" si="5"/>
        <v>0.7415730337078652</v>
      </c>
      <c r="L17" s="206">
        <v>167</v>
      </c>
      <c r="M17" s="206">
        <v>132</v>
      </c>
      <c r="N17" s="233">
        <f t="shared" si="6"/>
        <v>0.79041916167664672</v>
      </c>
      <c r="O17" s="206">
        <v>110</v>
      </c>
      <c r="P17" s="233">
        <f t="shared" si="7"/>
        <v>0.6586826347305389</v>
      </c>
      <c r="Q17" s="206">
        <v>187</v>
      </c>
      <c r="R17" s="206">
        <v>149</v>
      </c>
      <c r="S17" s="233">
        <f t="shared" si="8"/>
        <v>0.79679144385026734</v>
      </c>
      <c r="T17" s="206">
        <v>109</v>
      </c>
      <c r="U17" s="233">
        <f t="shared" si="9"/>
        <v>0.58288770053475936</v>
      </c>
      <c r="V17" s="171">
        <v>157</v>
      </c>
      <c r="W17" s="171">
        <v>135</v>
      </c>
      <c r="X17" s="233">
        <f t="shared" si="0"/>
        <v>0.85987261146496818</v>
      </c>
      <c r="Y17" s="171">
        <v>157</v>
      </c>
      <c r="Z17" s="171">
        <v>94</v>
      </c>
      <c r="AA17" s="233">
        <f t="shared" si="1"/>
        <v>0.59872611464968151</v>
      </c>
      <c r="AB17" s="226">
        <v>7</v>
      </c>
    </row>
    <row r="18" spans="1:30" s="209" customFormat="1" ht="17.25" customHeight="1" x14ac:dyDescent="0.2">
      <c r="A18" s="215" t="s">
        <v>4</v>
      </c>
      <c r="B18" s="206">
        <v>97</v>
      </c>
      <c r="C18" s="234">
        <v>84</v>
      </c>
      <c r="D18" s="233">
        <f t="shared" si="2"/>
        <v>0.865979381443299</v>
      </c>
      <c r="E18" s="234">
        <v>53</v>
      </c>
      <c r="F18" s="233">
        <f t="shared" si="3"/>
        <v>0.54639175257731953</v>
      </c>
      <c r="G18" s="206">
        <v>153</v>
      </c>
      <c r="H18" s="206">
        <v>136</v>
      </c>
      <c r="I18" s="233">
        <f t="shared" si="4"/>
        <v>0.88888888888888884</v>
      </c>
      <c r="J18" s="206">
        <v>90</v>
      </c>
      <c r="K18" s="233">
        <f t="shared" si="5"/>
        <v>0.58823529411764708</v>
      </c>
      <c r="L18" s="206">
        <v>164</v>
      </c>
      <c r="M18" s="206">
        <v>156</v>
      </c>
      <c r="N18" s="233">
        <f t="shared" si="6"/>
        <v>0.95121951219512191</v>
      </c>
      <c r="O18" s="206">
        <v>109</v>
      </c>
      <c r="P18" s="233">
        <f t="shared" si="7"/>
        <v>0.66463414634146345</v>
      </c>
      <c r="Q18" s="206">
        <v>145</v>
      </c>
      <c r="R18" s="206">
        <v>131</v>
      </c>
      <c r="S18" s="233">
        <f t="shared" si="8"/>
        <v>0.90344827586206899</v>
      </c>
      <c r="T18" s="206">
        <v>79</v>
      </c>
      <c r="U18" s="233">
        <f t="shared" si="9"/>
        <v>0.54482758620689653</v>
      </c>
      <c r="V18" s="131">
        <v>159</v>
      </c>
      <c r="W18" s="131">
        <v>148</v>
      </c>
      <c r="X18" s="233">
        <f t="shared" si="0"/>
        <v>0.9308176100628931</v>
      </c>
      <c r="Y18" s="131">
        <v>159</v>
      </c>
      <c r="Z18" s="131">
        <v>94</v>
      </c>
      <c r="AA18" s="233">
        <f t="shared" si="1"/>
        <v>0.5911949685534591</v>
      </c>
      <c r="AB18" s="226">
        <v>8</v>
      </c>
    </row>
    <row r="19" spans="1:30" s="209" customFormat="1" ht="17.25" customHeight="1" x14ac:dyDescent="0.2">
      <c r="A19" s="213" t="s">
        <v>5</v>
      </c>
      <c r="B19" s="206">
        <v>86</v>
      </c>
      <c r="C19" s="234">
        <v>78</v>
      </c>
      <c r="D19" s="233">
        <f t="shared" si="2"/>
        <v>0.90697674418604646</v>
      </c>
      <c r="E19" s="234">
        <v>70</v>
      </c>
      <c r="F19" s="233">
        <f t="shared" si="3"/>
        <v>0.81395348837209303</v>
      </c>
      <c r="G19" s="206">
        <v>160</v>
      </c>
      <c r="H19" s="206">
        <v>135</v>
      </c>
      <c r="I19" s="233">
        <f t="shared" si="4"/>
        <v>0.84375</v>
      </c>
      <c r="J19" s="206">
        <v>93</v>
      </c>
      <c r="K19" s="233">
        <f>IF(AND(G19&gt;0,J19&lt;&gt;""),J19/G19,"")</f>
        <v>0.58125000000000004</v>
      </c>
      <c r="L19" s="206">
        <v>156</v>
      </c>
      <c r="M19" s="206">
        <v>142</v>
      </c>
      <c r="N19" s="233">
        <f t="shared" si="6"/>
        <v>0.91025641025641024</v>
      </c>
      <c r="O19" s="206">
        <v>103</v>
      </c>
      <c r="P19" s="233">
        <f>IF(AND(L19&gt;0,O19&lt;&gt;""),O19/L19,"")</f>
        <v>0.66025641025641024</v>
      </c>
      <c r="Q19" s="206">
        <v>160</v>
      </c>
      <c r="R19" s="206">
        <v>136</v>
      </c>
      <c r="S19" s="233">
        <f t="shared" si="8"/>
        <v>0.85</v>
      </c>
      <c r="T19" s="206">
        <v>116</v>
      </c>
      <c r="U19" s="233">
        <f>IF(AND(Q19&gt;0,T19&lt;&gt;""),T19/Q19,"")</f>
        <v>0.72499999999999998</v>
      </c>
      <c r="V19" s="171">
        <v>143</v>
      </c>
      <c r="W19" s="171">
        <v>130</v>
      </c>
      <c r="X19" s="233">
        <f>IF(AND(V19&gt;0,W19&lt;&gt;""),W19/V19,"")</f>
        <v>0.90909090909090906</v>
      </c>
      <c r="Y19" s="171">
        <v>143</v>
      </c>
      <c r="Z19" s="171">
        <v>93</v>
      </c>
      <c r="AA19" s="233">
        <f t="shared" si="1"/>
        <v>0.65034965034965031</v>
      </c>
      <c r="AB19" s="226">
        <v>9</v>
      </c>
    </row>
    <row r="20" spans="1:30" s="209" customFormat="1" ht="17.25" customHeight="1" x14ac:dyDescent="0.2">
      <c r="A20" s="216" t="s">
        <v>218</v>
      </c>
      <c r="B20" s="206"/>
      <c r="C20" s="234"/>
      <c r="D20" s="233" t="str">
        <f>IF(AND(B20&gt;0,C20&lt;&gt;""),C20/$B20,"")</f>
        <v/>
      </c>
      <c r="E20" s="234"/>
      <c r="F20" s="233" t="str">
        <f>IF(AND($B20&gt;0,E20&lt;&gt;""),E20/$B20,"")</f>
        <v/>
      </c>
      <c r="G20" s="206">
        <v>48</v>
      </c>
      <c r="H20" s="234">
        <v>47</v>
      </c>
      <c r="I20" s="233">
        <f>IF(AND(G20&gt;0,H20&lt;&gt;""),H20/$G20,"")</f>
        <v>0.97916666666666663</v>
      </c>
      <c r="J20" s="234"/>
      <c r="K20" s="233" t="str">
        <f>IF(AND($G20&gt;0,J20&lt;&gt;""),J20/$G20,"")</f>
        <v/>
      </c>
      <c r="L20" s="206">
        <v>29</v>
      </c>
      <c r="M20" s="234">
        <v>24</v>
      </c>
      <c r="N20" s="233">
        <f>IF(AND(L20&gt;0,M20&lt;&gt;""),M20/$L20,"")</f>
        <v>0.82758620689655171</v>
      </c>
      <c r="O20" s="234">
        <v>17</v>
      </c>
      <c r="P20" s="233">
        <f>IF(AND($L20&gt;0,O20&lt;&gt;""),O20/$L20,"")</f>
        <v>0.58620689655172409</v>
      </c>
      <c r="Q20" s="206">
        <v>52</v>
      </c>
      <c r="R20" s="234">
        <v>44</v>
      </c>
      <c r="S20" s="233">
        <f t="shared" si="8"/>
        <v>0.84615384615384615</v>
      </c>
      <c r="T20" s="234">
        <v>43</v>
      </c>
      <c r="U20" s="233">
        <f t="shared" ref="U20:U22" si="10">IF(AND(Q20&gt;0,T20&lt;&gt;""),T20/Q20,"")</f>
        <v>0.82692307692307687</v>
      </c>
      <c r="V20" s="171">
        <v>84</v>
      </c>
      <c r="W20" s="171">
        <v>73</v>
      </c>
      <c r="X20" s="233">
        <f t="shared" ref="X20:X22" si="11">IF(AND(V20&gt;0,W20&lt;&gt;""),W20/V20,"")</f>
        <v>0.86904761904761907</v>
      </c>
      <c r="Y20" s="171">
        <v>56</v>
      </c>
      <c r="Z20" s="171">
        <v>45</v>
      </c>
      <c r="AA20" s="233">
        <f t="shared" si="1"/>
        <v>0.8035714285714286</v>
      </c>
      <c r="AB20" s="226"/>
    </row>
    <row r="21" spans="1:30" s="209" customFormat="1" ht="17.25" customHeight="1" x14ac:dyDescent="0.2">
      <c r="A21" s="216" t="s">
        <v>219</v>
      </c>
      <c r="B21" s="206"/>
      <c r="C21" s="234"/>
      <c r="D21" s="233" t="str">
        <f>IF(AND(B21&gt;0,C21&lt;&gt;""),C21/$B21,"")</f>
        <v/>
      </c>
      <c r="E21" s="234"/>
      <c r="F21" s="233" t="str">
        <f>IF(AND($B21&gt;0,E21&lt;&gt;""),E21/$B21,"")</f>
        <v/>
      </c>
      <c r="G21" s="206">
        <v>47</v>
      </c>
      <c r="H21" s="234">
        <v>41</v>
      </c>
      <c r="I21" s="233">
        <f t="shared" ref="I21:I22" si="12">IF(AND(G21&gt;0,H21&lt;&gt;""),H21/$G21,"")</f>
        <v>0.87234042553191493</v>
      </c>
      <c r="J21" s="234"/>
      <c r="K21" s="233" t="str">
        <f t="shared" ref="K21:K22" si="13">IF(AND($G21&gt;0,J21&lt;&gt;""),J21/$G21,"")</f>
        <v/>
      </c>
      <c r="L21" s="206">
        <v>42</v>
      </c>
      <c r="M21" s="234">
        <v>38</v>
      </c>
      <c r="N21" s="233">
        <f t="shared" ref="N21:N22" si="14">IF(AND(L21&gt;0,M21&lt;&gt;""),M21/$L21,"")</f>
        <v>0.90476190476190477</v>
      </c>
      <c r="O21" s="234"/>
      <c r="P21" s="233" t="str">
        <f t="shared" ref="P21:P22" si="15">IF(AND($L21&gt;0,O21&lt;&gt;""),O21/$L21,"")</f>
        <v/>
      </c>
      <c r="Q21" s="206">
        <v>23</v>
      </c>
      <c r="R21" s="234">
        <v>19</v>
      </c>
      <c r="S21" s="233">
        <f t="shared" si="8"/>
        <v>0.82608695652173914</v>
      </c>
      <c r="T21" s="234">
        <v>17</v>
      </c>
      <c r="U21" s="233">
        <f t="shared" si="10"/>
        <v>0.73913043478260865</v>
      </c>
      <c r="V21" s="171">
        <v>40</v>
      </c>
      <c r="W21" s="171">
        <v>35</v>
      </c>
      <c r="X21" s="233">
        <f t="shared" si="11"/>
        <v>0.875</v>
      </c>
      <c r="Y21" s="171">
        <v>40</v>
      </c>
      <c r="Z21" s="171">
        <v>34</v>
      </c>
      <c r="AA21" s="233">
        <f t="shared" si="1"/>
        <v>0.85</v>
      </c>
      <c r="AB21" s="226"/>
    </row>
    <row r="22" spans="1:30" s="209" customFormat="1" ht="17.25" customHeight="1" x14ac:dyDescent="0.2">
      <c r="A22" s="216" t="s">
        <v>220</v>
      </c>
      <c r="B22" s="206"/>
      <c r="C22" s="234"/>
      <c r="D22" s="233" t="str">
        <f>IF(AND(B22&gt;0,C22&lt;&gt;""),C22/$B22,"")</f>
        <v/>
      </c>
      <c r="E22" s="234"/>
      <c r="F22" s="233" t="str">
        <f>IF(AND($B22&gt;0,E22&lt;&gt;""),E22/$B22,"")</f>
        <v/>
      </c>
      <c r="G22" s="206">
        <v>49</v>
      </c>
      <c r="H22" s="234">
        <v>43</v>
      </c>
      <c r="I22" s="233">
        <f t="shared" si="12"/>
        <v>0.87755102040816324</v>
      </c>
      <c r="J22" s="234"/>
      <c r="K22" s="233" t="str">
        <f t="shared" si="13"/>
        <v/>
      </c>
      <c r="L22" s="206">
        <v>34</v>
      </c>
      <c r="M22" s="234">
        <v>32</v>
      </c>
      <c r="N22" s="233">
        <f t="shared" si="14"/>
        <v>0.94117647058823528</v>
      </c>
      <c r="O22" s="234">
        <v>27</v>
      </c>
      <c r="P22" s="233">
        <f t="shared" si="15"/>
        <v>0.79411764705882348</v>
      </c>
      <c r="Q22" s="206">
        <v>36</v>
      </c>
      <c r="R22" s="234">
        <v>33</v>
      </c>
      <c r="S22" s="233">
        <f t="shared" si="8"/>
        <v>0.91666666666666663</v>
      </c>
      <c r="T22" s="234"/>
      <c r="U22" s="233" t="str">
        <f t="shared" si="10"/>
        <v/>
      </c>
      <c r="V22" s="171">
        <v>16</v>
      </c>
      <c r="W22" s="171">
        <v>16</v>
      </c>
      <c r="X22" s="233">
        <f t="shared" si="11"/>
        <v>1</v>
      </c>
      <c r="Y22" s="171">
        <v>16</v>
      </c>
      <c r="Z22" s="171">
        <v>14</v>
      </c>
      <c r="AA22" s="233">
        <f t="shared" si="1"/>
        <v>0.875</v>
      </c>
      <c r="AB22" s="226"/>
    </row>
    <row r="23" spans="1:30" s="14" customFormat="1" ht="51.75" customHeight="1" x14ac:dyDescent="0.2">
      <c r="A23" s="504" t="s">
        <v>282</v>
      </c>
      <c r="B23" s="505"/>
      <c r="C23" s="505"/>
      <c r="D23" s="505"/>
      <c r="E23" s="505"/>
      <c r="F23" s="505"/>
      <c r="G23" s="505"/>
      <c r="H23" s="505"/>
      <c r="I23" s="505"/>
      <c r="J23" s="505"/>
      <c r="K23" s="505"/>
      <c r="L23" s="505"/>
      <c r="M23" s="505"/>
      <c r="N23" s="505"/>
      <c r="O23" s="505"/>
      <c r="P23" s="505"/>
      <c r="Q23" s="505"/>
      <c r="R23" s="505"/>
      <c r="S23" s="505"/>
      <c r="T23" s="505"/>
      <c r="U23" s="505"/>
      <c r="V23" s="505"/>
      <c r="W23" s="163"/>
      <c r="X23" s="163"/>
      <c r="Y23" s="163"/>
      <c r="Z23" s="163"/>
      <c r="AA23" s="163"/>
    </row>
    <row r="24" spans="1:30" s="14" customFormat="1" ht="18" customHeight="1" x14ac:dyDescent="0.2">
      <c r="A24" s="6" t="s">
        <v>343</v>
      </c>
    </row>
    <row r="25" spans="1:30" ht="49.5" customHeight="1" x14ac:dyDescent="0.2">
      <c r="A25" s="458" t="s">
        <v>379</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60"/>
    </row>
    <row r="26" spans="1:30" ht="9.75" customHeight="1" x14ac:dyDescent="0.2">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row>
    <row r="27" spans="1:30" s="87" customFormat="1" ht="30.75" customHeight="1" x14ac:dyDescent="0.2">
      <c r="A27" s="503" t="s">
        <v>230</v>
      </c>
      <c r="B27" s="503"/>
      <c r="C27" s="503"/>
      <c r="D27" s="503"/>
      <c r="E27" s="503"/>
      <c r="F27" s="503"/>
      <c r="G27" s="503"/>
      <c r="H27" s="503"/>
      <c r="I27" s="503"/>
      <c r="J27" s="503"/>
      <c r="K27" s="503"/>
      <c r="L27" s="503"/>
      <c r="M27" s="503"/>
      <c r="N27" s="503"/>
      <c r="O27" s="503"/>
      <c r="P27" s="503"/>
      <c r="Q27" s="503"/>
      <c r="R27" s="503"/>
      <c r="S27" s="503"/>
      <c r="T27" s="503"/>
      <c r="U27" s="503"/>
      <c r="V27" s="503"/>
      <c r="W27" s="162"/>
      <c r="X27" s="162"/>
      <c r="Y27" s="162"/>
      <c r="Z27" s="162"/>
      <c r="AA27" s="162"/>
      <c r="AD27" s="46"/>
    </row>
    <row r="28" spans="1:30" s="87" customFormat="1" ht="9.75" customHeight="1" x14ac:dyDescent="0.2">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row>
    <row r="29" spans="1:30" s="87" customFormat="1" ht="36" customHeight="1" x14ac:dyDescent="0.2">
      <c r="A29" s="503" t="s">
        <v>286</v>
      </c>
      <c r="B29" s="503"/>
      <c r="C29" s="503"/>
      <c r="D29" s="503"/>
      <c r="E29" s="503"/>
      <c r="F29" s="503"/>
      <c r="G29" s="503"/>
      <c r="H29" s="503"/>
      <c r="I29" s="503"/>
      <c r="J29" s="503"/>
      <c r="K29" s="503"/>
      <c r="L29" s="503"/>
      <c r="M29" s="503"/>
      <c r="N29" s="503"/>
      <c r="O29" s="503"/>
      <c r="P29" s="503"/>
      <c r="Q29" s="503"/>
      <c r="R29" s="503"/>
      <c r="S29" s="503"/>
      <c r="T29" s="503"/>
      <c r="U29" s="503"/>
      <c r="V29" s="503"/>
      <c r="W29" s="162"/>
      <c r="X29" s="162"/>
      <c r="Y29" s="162"/>
      <c r="Z29" s="162"/>
      <c r="AA29" s="162"/>
    </row>
    <row r="30" spans="1:30" ht="29.25" customHeight="1" x14ac:dyDescent="0.2">
      <c r="A30" s="507"/>
      <c r="B30" s="508"/>
      <c r="C30" s="509"/>
      <c r="D30" s="509"/>
      <c r="E30" s="509"/>
      <c r="F30" s="509"/>
      <c r="G30" s="509"/>
      <c r="H30" s="509"/>
      <c r="I30" s="509"/>
      <c r="J30" s="509"/>
      <c r="K30" s="509"/>
      <c r="L30" s="509"/>
      <c r="M30" s="509"/>
      <c r="N30" s="509"/>
      <c r="O30" s="509"/>
      <c r="P30" s="509"/>
    </row>
    <row r="31" spans="1:30" s="209" customFormat="1" ht="17.25" customHeight="1" x14ac:dyDescent="0.2">
      <c r="A31" s="517" t="s">
        <v>276</v>
      </c>
      <c r="B31" s="518"/>
      <c r="C31" s="517" t="s">
        <v>203</v>
      </c>
      <c r="D31" s="538"/>
      <c r="E31" s="538"/>
      <c r="F31" s="538"/>
      <c r="G31" s="538"/>
      <c r="H31" s="538"/>
      <c r="I31" s="538"/>
      <c r="J31" s="538"/>
      <c r="K31" s="539"/>
      <c r="L31" s="539"/>
      <c r="M31" s="539"/>
      <c r="N31" s="540"/>
      <c r="O31" s="217"/>
      <c r="P31" s="217"/>
      <c r="Q31" s="543"/>
      <c r="R31" s="544"/>
      <c r="S31" s="544"/>
      <c r="T31" s="544"/>
      <c r="U31" s="544"/>
      <c r="V31" s="544"/>
      <c r="W31" s="217"/>
      <c r="X31" s="217"/>
      <c r="Y31" s="217"/>
      <c r="Z31" s="217"/>
      <c r="AA31" s="217"/>
    </row>
    <row r="32" spans="1:30" s="209" customFormat="1" ht="21.75" customHeight="1" x14ac:dyDescent="0.2">
      <c r="A32" s="530"/>
      <c r="B32" s="531"/>
      <c r="C32" s="534" t="s">
        <v>283</v>
      </c>
      <c r="D32" s="535"/>
      <c r="E32" s="535"/>
      <c r="F32" s="535"/>
      <c r="G32" s="535"/>
      <c r="H32" s="535"/>
      <c r="I32" s="535"/>
      <c r="J32" s="535"/>
      <c r="K32" s="536"/>
      <c r="L32" s="536"/>
      <c r="M32" s="536"/>
      <c r="N32" s="537"/>
      <c r="O32" s="218"/>
      <c r="P32" s="218"/>
      <c r="Q32" s="218"/>
      <c r="R32" s="219"/>
      <c r="S32" s="218"/>
      <c r="T32" s="218"/>
      <c r="U32" s="218"/>
      <c r="V32" s="218"/>
      <c r="W32" s="218"/>
      <c r="X32" s="218"/>
      <c r="Y32" s="218"/>
      <c r="Z32" s="218"/>
      <c r="AA32" s="218"/>
    </row>
    <row r="33" spans="1:31" s="209" customFormat="1" ht="18" customHeight="1" x14ac:dyDescent="0.2">
      <c r="A33" s="530"/>
      <c r="B33" s="531"/>
      <c r="C33" s="530" t="s">
        <v>225</v>
      </c>
      <c r="D33" s="531"/>
      <c r="E33" s="530" t="s">
        <v>226</v>
      </c>
      <c r="F33" s="531"/>
      <c r="G33" s="530" t="s">
        <v>227</v>
      </c>
      <c r="H33" s="531"/>
      <c r="I33" s="530" t="s">
        <v>274</v>
      </c>
      <c r="J33" s="531"/>
      <c r="K33" s="530" t="s">
        <v>273</v>
      </c>
      <c r="L33" s="531"/>
      <c r="M33" s="532" t="s">
        <v>234</v>
      </c>
      <c r="N33" s="533"/>
      <c r="O33" s="219"/>
      <c r="P33" s="219"/>
      <c r="Q33" s="218"/>
      <c r="R33" s="219"/>
      <c r="S33" s="219"/>
      <c r="T33" s="218"/>
      <c r="U33" s="219"/>
      <c r="V33" s="219"/>
      <c r="W33" s="219"/>
      <c r="X33" s="219"/>
      <c r="Y33" s="219"/>
      <c r="Z33" s="219"/>
      <c r="AA33" s="219"/>
    </row>
    <row r="34" spans="1:31" s="212" customFormat="1" ht="17.25" customHeight="1" x14ac:dyDescent="0.2">
      <c r="A34" s="534"/>
      <c r="B34" s="541"/>
      <c r="C34" s="220" t="s">
        <v>21</v>
      </c>
      <c r="D34" s="220" t="s">
        <v>22</v>
      </c>
      <c r="E34" s="220" t="s">
        <v>21</v>
      </c>
      <c r="F34" s="220" t="s">
        <v>22</v>
      </c>
      <c r="G34" s="220" t="s">
        <v>21</v>
      </c>
      <c r="H34" s="220" t="s">
        <v>22</v>
      </c>
      <c r="I34" s="220" t="s">
        <v>21</v>
      </c>
      <c r="J34" s="220" t="s">
        <v>22</v>
      </c>
      <c r="K34" s="220" t="s">
        <v>21</v>
      </c>
      <c r="L34" s="220" t="s">
        <v>22</v>
      </c>
      <c r="M34" s="220" t="s">
        <v>21</v>
      </c>
      <c r="N34" s="220" t="s">
        <v>22</v>
      </c>
      <c r="O34" s="221"/>
      <c r="P34" s="222"/>
      <c r="Q34" s="218"/>
      <c r="R34" s="221"/>
      <c r="S34" s="222"/>
      <c r="T34" s="218"/>
      <c r="U34" s="221"/>
      <c r="V34" s="222"/>
      <c r="W34" s="222"/>
      <c r="X34" s="222"/>
      <c r="Y34" s="222"/>
      <c r="Z34" s="222"/>
      <c r="AA34" s="222"/>
    </row>
    <row r="35" spans="1:31" s="209" customFormat="1" ht="33.75" customHeight="1" x14ac:dyDescent="0.2">
      <c r="A35" s="510" t="s">
        <v>279</v>
      </c>
      <c r="B35" s="511"/>
      <c r="C35" s="227">
        <v>6</v>
      </c>
      <c r="D35" s="223">
        <f>IF(C35&lt;&gt;"",ROUND(C35/$M35,4),"")</f>
        <v>0.31580000000000003</v>
      </c>
      <c r="E35" s="227">
        <v>1</v>
      </c>
      <c r="F35" s="223">
        <f>IF(E35&lt;&gt;"",ROUND(E35/$M35,4),"")</f>
        <v>5.2600000000000001E-2</v>
      </c>
      <c r="G35" s="228">
        <v>4</v>
      </c>
      <c r="H35" s="223">
        <f>IF(G35&lt;&gt;"",ROUND(G35/$M35,4),"")</f>
        <v>0.21049999999999999</v>
      </c>
      <c r="I35" s="228">
        <v>5</v>
      </c>
      <c r="J35" s="223">
        <f>IF(I35&lt;&gt;"",ROUND(I35/$M35,4),"")</f>
        <v>0.26319999999999999</v>
      </c>
      <c r="K35" s="228">
        <v>3</v>
      </c>
      <c r="L35" s="223">
        <f>IF(K35&lt;&gt;"",ROUND(K35/$M35,4),"")</f>
        <v>0.15790000000000001</v>
      </c>
      <c r="M35" s="224">
        <f>IF(SUM(C35,E35,G35,I35,K35)&gt;0,SUM(C35,E35,G35,I35,K35),"")</f>
        <v>19</v>
      </c>
      <c r="N35" s="223"/>
      <c r="O35" s="222"/>
      <c r="P35" s="225"/>
      <c r="Q35" s="222"/>
      <c r="R35" s="222"/>
      <c r="S35" s="225"/>
      <c r="T35" s="222"/>
      <c r="U35" s="222"/>
      <c r="V35" s="225"/>
      <c r="W35" s="225"/>
      <c r="X35" s="225"/>
      <c r="Y35" s="225"/>
      <c r="Z35" s="225"/>
      <c r="AA35" s="225"/>
      <c r="AB35" s="226">
        <v>1</v>
      </c>
    </row>
    <row r="36" spans="1:31" s="209" customFormat="1" ht="33.75" customHeight="1" x14ac:dyDescent="0.2">
      <c r="A36" s="512" t="s">
        <v>228</v>
      </c>
      <c r="B36" s="513"/>
      <c r="C36" s="227">
        <v>5</v>
      </c>
      <c r="D36" s="223">
        <f>IF(C36&lt;&gt;"",ROUND(C36/C$35,4),"")</f>
        <v>0.83330000000000004</v>
      </c>
      <c r="E36" s="227">
        <v>1</v>
      </c>
      <c r="F36" s="223">
        <f>IF(E36&lt;&gt;"",ROUND(E36/E$35,4),"")</f>
        <v>1</v>
      </c>
      <c r="G36" s="228">
        <v>4</v>
      </c>
      <c r="H36" s="223">
        <f>IF(G36&lt;&gt;"",ROUND(G36/G$35,4),"")</f>
        <v>1</v>
      </c>
      <c r="I36" s="228">
        <v>5</v>
      </c>
      <c r="J36" s="223">
        <f>IF(I36&lt;&gt;"",ROUND(I36/I$35,4),"")</f>
        <v>1</v>
      </c>
      <c r="K36" s="228">
        <v>3</v>
      </c>
      <c r="L36" s="223">
        <f>IF(K36&lt;&gt;"",ROUND(K36/K$35,4),"")</f>
        <v>1</v>
      </c>
      <c r="M36" s="224">
        <f>IF(SUM(C36,E36,G36,I36,K36)&gt;0,SUM(C36,E36,G36,I36,K36),"")</f>
        <v>18</v>
      </c>
      <c r="N36" s="223">
        <f>IF(M36&lt;&gt;"",ROUND(M36/M$35,4),"")</f>
        <v>0.94740000000000002</v>
      </c>
      <c r="O36" s="222"/>
      <c r="P36" s="225"/>
      <c r="Q36" s="222"/>
      <c r="R36" s="222"/>
      <c r="S36" s="225"/>
      <c r="T36" s="222"/>
      <c r="U36" s="222"/>
      <c r="V36" s="225"/>
      <c r="W36" s="225"/>
      <c r="X36" s="225"/>
      <c r="Y36" s="225"/>
      <c r="Z36" s="225"/>
      <c r="AA36" s="225"/>
      <c r="AB36" s="226">
        <v>2</v>
      </c>
    </row>
    <row r="37" spans="1:31" s="209" customFormat="1" ht="33.75" customHeight="1" x14ac:dyDescent="0.2">
      <c r="A37" s="510" t="s">
        <v>275</v>
      </c>
      <c r="B37" s="511"/>
      <c r="C37" s="227">
        <v>3</v>
      </c>
      <c r="D37" s="223">
        <f>IF(C37&lt;&gt;"",ROUND(C37/C$36,4),"")</f>
        <v>0.6</v>
      </c>
      <c r="E37" s="227">
        <v>1</v>
      </c>
      <c r="F37" s="223">
        <f>IF(E37&lt;&gt;"",ROUND(E37/E$36,4),"")</f>
        <v>1</v>
      </c>
      <c r="G37" s="228">
        <v>4</v>
      </c>
      <c r="H37" s="223">
        <f>IF(G37&lt;&gt;"",ROUND(G37/G$36,4),"")</f>
        <v>1</v>
      </c>
      <c r="I37" s="228">
        <v>4</v>
      </c>
      <c r="J37" s="223">
        <f>IF(I37&lt;&gt;"",ROUND(I37/I$36,4),"")</f>
        <v>0.8</v>
      </c>
      <c r="K37" s="228">
        <v>2</v>
      </c>
      <c r="L37" s="223">
        <f>IF(K37&lt;&gt;"",ROUND(K37/K$36,4),"")</f>
        <v>0.66669999999999996</v>
      </c>
      <c r="M37" s="224">
        <f>IF(SUM(C37,E37,G37,I37,K37)&gt;0,SUM(C37,E37,G37,I37,K37),"")</f>
        <v>14</v>
      </c>
      <c r="N37" s="223">
        <f>IF(M37&lt;&gt;"",ROUND(M37/M$36,4),"")</f>
        <v>0.77780000000000005</v>
      </c>
      <c r="O37" s="222"/>
      <c r="P37" s="225"/>
      <c r="Q37" s="222"/>
      <c r="R37" s="222"/>
      <c r="S37" s="225"/>
      <c r="T37" s="222"/>
      <c r="U37" s="222"/>
      <c r="V37" s="225"/>
      <c r="W37" s="225"/>
      <c r="X37" s="225"/>
      <c r="Y37" s="225"/>
      <c r="Z37" s="225"/>
      <c r="AA37" s="225"/>
      <c r="AB37" s="226">
        <v>3</v>
      </c>
    </row>
    <row r="38" spans="1:31" s="209" customFormat="1" ht="33.75" customHeight="1" x14ac:dyDescent="0.2">
      <c r="A38" s="510" t="s">
        <v>277</v>
      </c>
      <c r="B38" s="511"/>
      <c r="C38" s="227">
        <v>3</v>
      </c>
      <c r="D38" s="223">
        <f>IF(C38&lt;&gt;"",ROUND(C38/C$36,4),"")</f>
        <v>0.6</v>
      </c>
      <c r="E38" s="227">
        <v>1</v>
      </c>
      <c r="F38" s="223">
        <f>IF(E38&lt;&gt;"",ROUND(E38/E$36,4),"")</f>
        <v>1</v>
      </c>
      <c r="G38" s="228">
        <v>3</v>
      </c>
      <c r="H38" s="223">
        <f>IF(G38&lt;&gt;"",ROUND(G38/G$36,4),"")</f>
        <v>0.75</v>
      </c>
      <c r="I38" s="228">
        <v>4</v>
      </c>
      <c r="J38" s="223">
        <f>IF(I38&lt;&gt;"",ROUND(I38/I$36,4),"")</f>
        <v>0.8</v>
      </c>
      <c r="K38" s="228">
        <v>2</v>
      </c>
      <c r="L38" s="223">
        <f>IF(K38&lt;&gt;"",ROUND(K38/K$36,4),"")</f>
        <v>0.66669999999999996</v>
      </c>
      <c r="M38" s="224">
        <f>IF(SUM(C38,E38,G38,I38,K38)&gt;0,SUM(C38,E38,G38,I38,K38),"")</f>
        <v>13</v>
      </c>
      <c r="N38" s="223">
        <f>IF(M38&lt;&gt;"",ROUND(M38/M$36,4),"")</f>
        <v>0.72219999999999995</v>
      </c>
      <c r="O38" s="222"/>
      <c r="P38" s="225"/>
      <c r="Q38" s="222"/>
      <c r="R38" s="222"/>
      <c r="S38" s="225"/>
      <c r="T38" s="222"/>
      <c r="U38" s="222"/>
      <c r="V38" s="225"/>
      <c r="W38" s="225"/>
      <c r="X38" s="225"/>
      <c r="Y38" s="225"/>
      <c r="Z38" s="225"/>
      <c r="AA38" s="225"/>
      <c r="AB38" s="226">
        <v>4</v>
      </c>
    </row>
    <row r="39" spans="1:31" s="14" customFormat="1" ht="9" customHeight="1" x14ac:dyDescent="0.2">
      <c r="A39" s="504"/>
      <c r="B39" s="505"/>
      <c r="C39" s="505"/>
      <c r="D39" s="505"/>
      <c r="E39" s="505"/>
      <c r="F39" s="505"/>
      <c r="G39" s="505"/>
      <c r="H39" s="505"/>
      <c r="I39" s="505"/>
      <c r="J39" s="505"/>
      <c r="K39" s="542"/>
      <c r="L39" s="542"/>
      <c r="M39" s="542"/>
      <c r="N39" s="542"/>
      <c r="O39" s="542"/>
      <c r="P39" s="542"/>
      <c r="Q39" s="542"/>
      <c r="R39" s="542"/>
      <c r="S39" s="542"/>
      <c r="T39" s="542"/>
      <c r="U39" s="542"/>
      <c r="V39" s="542"/>
      <c r="W39" s="163"/>
      <c r="X39" s="163"/>
      <c r="Y39" s="163"/>
      <c r="Z39" s="163"/>
      <c r="AA39" s="163"/>
    </row>
    <row r="40" spans="1:31" s="14" customFormat="1" ht="18" customHeight="1" x14ac:dyDescent="0.2">
      <c r="A40" s="6" t="s">
        <v>343</v>
      </c>
    </row>
    <row r="41" spans="1:31" ht="49.5" customHeight="1" x14ac:dyDescent="0.2">
      <c r="A41" s="458" t="s">
        <v>375</v>
      </c>
      <c r="B41" s="459"/>
      <c r="C41" s="459"/>
      <c r="D41" s="459"/>
      <c r="E41" s="459"/>
      <c r="F41" s="459"/>
      <c r="G41" s="459"/>
      <c r="H41" s="459"/>
      <c r="I41" s="459"/>
      <c r="J41" s="459"/>
      <c r="K41" s="459"/>
      <c r="L41" s="459"/>
      <c r="M41" s="459"/>
      <c r="N41" s="459"/>
      <c r="O41" s="459"/>
      <c r="P41" s="459"/>
      <c r="Q41" s="459"/>
      <c r="R41" s="459"/>
      <c r="S41" s="459"/>
      <c r="T41" s="459"/>
      <c r="U41" s="459"/>
      <c r="V41" s="460"/>
      <c r="W41" s="139"/>
      <c r="X41" s="139"/>
      <c r="Y41" s="139"/>
      <c r="Z41" s="139"/>
      <c r="AA41" s="139"/>
    </row>
    <row r="42" spans="1:31" ht="10.5" customHeight="1" x14ac:dyDescent="0.25">
      <c r="B42" s="1"/>
      <c r="C42" s="1"/>
      <c r="D42" s="1"/>
    </row>
    <row r="43" spans="1:31" ht="36" customHeight="1" x14ac:dyDescent="0.2">
      <c r="A43" s="526" t="s">
        <v>278</v>
      </c>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7"/>
      <c r="AB43" s="146"/>
      <c r="AC43" s="146"/>
      <c r="AD43" s="146"/>
      <c r="AE43" s="146"/>
    </row>
    <row r="44" spans="1:31" s="87" customFormat="1" ht="9.75" customHeight="1" x14ac:dyDescent="0.2">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row>
    <row r="45" spans="1:31" s="87" customFormat="1" ht="36" customHeight="1" x14ac:dyDescent="0.2">
      <c r="A45" s="503" t="s">
        <v>287</v>
      </c>
      <c r="B45" s="503"/>
      <c r="C45" s="503"/>
      <c r="D45" s="503"/>
      <c r="E45" s="503"/>
      <c r="F45" s="503"/>
      <c r="G45" s="503"/>
      <c r="H45" s="503"/>
      <c r="I45" s="503"/>
      <c r="J45" s="503"/>
      <c r="K45" s="503"/>
      <c r="L45" s="503"/>
      <c r="M45" s="503"/>
      <c r="N45" s="503"/>
      <c r="O45" s="503"/>
      <c r="P45" s="503"/>
      <c r="Q45" s="503"/>
      <c r="R45" s="503"/>
      <c r="S45" s="503"/>
      <c r="T45" s="503"/>
      <c r="U45" s="503"/>
      <c r="V45" s="503"/>
      <c r="W45" s="170"/>
      <c r="X45" s="170"/>
      <c r="Y45" s="170"/>
      <c r="Z45" s="170"/>
      <c r="AA45" s="170"/>
    </row>
    <row r="46" spans="1:31" ht="29.25" customHeight="1" x14ac:dyDescent="0.2">
      <c r="A46" s="522" t="s">
        <v>198</v>
      </c>
      <c r="B46" s="522"/>
      <c r="C46" s="522"/>
      <c r="D46" s="522"/>
      <c r="E46" s="522"/>
      <c r="F46" s="522"/>
      <c r="G46" s="522"/>
      <c r="H46" s="522"/>
      <c r="I46" s="522"/>
      <c r="J46" s="522"/>
      <c r="K46" s="522"/>
      <c r="L46" s="522"/>
      <c r="M46" s="522"/>
      <c r="N46" s="522"/>
      <c r="O46" s="522"/>
      <c r="P46" s="522"/>
    </row>
    <row r="47" spans="1:31" s="209" customFormat="1" ht="17.25" customHeight="1" x14ac:dyDescent="0.2">
      <c r="A47" s="496" t="s">
        <v>0</v>
      </c>
      <c r="B47" s="491" t="s">
        <v>169</v>
      </c>
      <c r="C47" s="492"/>
      <c r="D47" s="492"/>
      <c r="E47" s="492"/>
      <c r="F47" s="500"/>
      <c r="G47" s="491" t="s">
        <v>60</v>
      </c>
      <c r="H47" s="492"/>
      <c r="I47" s="492"/>
      <c r="J47" s="492"/>
      <c r="K47" s="500"/>
      <c r="L47" s="491" t="s">
        <v>129</v>
      </c>
      <c r="M47" s="492"/>
      <c r="N47" s="492"/>
      <c r="O47" s="492"/>
      <c r="P47" s="500"/>
      <c r="Q47" s="491" t="s">
        <v>164</v>
      </c>
      <c r="R47" s="492"/>
      <c r="S47" s="492"/>
      <c r="T47" s="492"/>
      <c r="U47" s="500"/>
      <c r="V47" s="491" t="s">
        <v>203</v>
      </c>
      <c r="W47" s="492"/>
      <c r="X47" s="492"/>
      <c r="Y47" s="492"/>
      <c r="Z47" s="492"/>
      <c r="AA47" s="207"/>
      <c r="AB47" s="208"/>
      <c r="AC47" s="208"/>
      <c r="AD47" s="208"/>
      <c r="AE47" s="208"/>
    </row>
    <row r="48" spans="1:31" s="209" customFormat="1" ht="50.25" customHeight="1" x14ac:dyDescent="0.2">
      <c r="A48" s="516"/>
      <c r="B48" s="496" t="s">
        <v>221</v>
      </c>
      <c r="C48" s="498" t="s">
        <v>281</v>
      </c>
      <c r="D48" s="506"/>
      <c r="E48" s="506"/>
      <c r="F48" s="499"/>
      <c r="G48" s="496" t="s">
        <v>284</v>
      </c>
      <c r="H48" s="498" t="s">
        <v>281</v>
      </c>
      <c r="I48" s="506"/>
      <c r="J48" s="506"/>
      <c r="K48" s="499"/>
      <c r="L48" s="496" t="s">
        <v>284</v>
      </c>
      <c r="M48" s="498" t="s">
        <v>281</v>
      </c>
      <c r="N48" s="506"/>
      <c r="O48" s="506"/>
      <c r="P48" s="499"/>
      <c r="Q48" s="496" t="s">
        <v>284</v>
      </c>
      <c r="R48" s="498" t="s">
        <v>281</v>
      </c>
      <c r="S48" s="506"/>
      <c r="T48" s="506"/>
      <c r="U48" s="499"/>
      <c r="V48" s="496" t="s">
        <v>221</v>
      </c>
      <c r="W48" s="493" t="s">
        <v>281</v>
      </c>
      <c r="X48" s="494"/>
      <c r="Y48" s="494"/>
      <c r="Z48" s="495"/>
      <c r="AA48" s="210"/>
    </row>
    <row r="49" spans="1:28" s="212" customFormat="1" ht="12" customHeight="1" x14ac:dyDescent="0.2">
      <c r="A49" s="497"/>
      <c r="B49" s="497"/>
      <c r="C49" s="498" t="s">
        <v>21</v>
      </c>
      <c r="D49" s="499"/>
      <c r="E49" s="498" t="s">
        <v>22</v>
      </c>
      <c r="F49" s="499"/>
      <c r="G49" s="497"/>
      <c r="H49" s="498" t="s">
        <v>21</v>
      </c>
      <c r="I49" s="499"/>
      <c r="J49" s="498" t="s">
        <v>22</v>
      </c>
      <c r="K49" s="499"/>
      <c r="L49" s="497"/>
      <c r="M49" s="498" t="s">
        <v>21</v>
      </c>
      <c r="N49" s="499"/>
      <c r="O49" s="498" t="s">
        <v>22</v>
      </c>
      <c r="P49" s="499"/>
      <c r="Q49" s="497"/>
      <c r="R49" s="498" t="s">
        <v>21</v>
      </c>
      <c r="S49" s="499"/>
      <c r="T49" s="498" t="s">
        <v>22</v>
      </c>
      <c r="U49" s="499"/>
      <c r="V49" s="497"/>
      <c r="W49" s="501" t="s">
        <v>21</v>
      </c>
      <c r="X49" s="501"/>
      <c r="Y49" s="501" t="s">
        <v>22</v>
      </c>
      <c r="Z49" s="498"/>
      <c r="AA49" s="211"/>
    </row>
    <row r="50" spans="1:28" s="209" customFormat="1" ht="18.75" customHeight="1" x14ac:dyDescent="0.2">
      <c r="A50" s="213" t="s">
        <v>6</v>
      </c>
      <c r="B50" s="206">
        <v>128</v>
      </c>
      <c r="C50" s="486">
        <v>98</v>
      </c>
      <c r="D50" s="487"/>
      <c r="E50" s="489">
        <f>IF(AND(C50&lt;&gt;"",B50&gt;0),C50/$B50,"")</f>
        <v>0.765625</v>
      </c>
      <c r="F50" s="490"/>
      <c r="G50" s="206">
        <v>122</v>
      </c>
      <c r="H50" s="486">
        <v>99</v>
      </c>
      <c r="I50" s="487"/>
      <c r="J50" s="489">
        <f>IF(AND(G50&gt;0,H50&lt;&gt;""),H50/G50,"")</f>
        <v>0.81147540983606559</v>
      </c>
      <c r="K50" s="490"/>
      <c r="L50" s="206">
        <v>98</v>
      </c>
      <c r="M50" s="486">
        <v>81</v>
      </c>
      <c r="N50" s="487"/>
      <c r="O50" s="489">
        <f>IF(AND(L50&gt;0,M50&lt;&gt;""),M50/L50,"")</f>
        <v>0.82653061224489799</v>
      </c>
      <c r="P50" s="490"/>
      <c r="Q50" s="206">
        <v>100</v>
      </c>
      <c r="R50" s="486">
        <v>78</v>
      </c>
      <c r="S50" s="487"/>
      <c r="T50" s="489">
        <f>IF(AND(Q50&gt;0,R50&lt;&gt;""),R50/Q50,"")</f>
        <v>0.78</v>
      </c>
      <c r="U50" s="490"/>
      <c r="V50" s="171">
        <v>96</v>
      </c>
      <c r="W50" s="488">
        <v>82</v>
      </c>
      <c r="X50" s="488"/>
      <c r="Y50" s="489">
        <f t="shared" ref="Y50:Y61" si="16">IF(AND(V50&gt;0,W50&lt;&gt;""),W50/V50,"")</f>
        <v>0.85416666666666663</v>
      </c>
      <c r="Z50" s="490"/>
      <c r="AA50" s="214"/>
      <c r="AB50" s="209">
        <v>1</v>
      </c>
    </row>
    <row r="51" spans="1:28" s="209" customFormat="1" ht="18.75" customHeight="1" x14ac:dyDescent="0.2">
      <c r="A51" s="213" t="s">
        <v>7</v>
      </c>
      <c r="B51" s="206">
        <v>165</v>
      </c>
      <c r="C51" s="486">
        <v>116</v>
      </c>
      <c r="D51" s="487"/>
      <c r="E51" s="489">
        <f t="shared" ref="E51:E61" si="17">IF(AND(C51&lt;&gt;"",B51&gt;0),C51/$B51,"")</f>
        <v>0.70303030303030301</v>
      </c>
      <c r="F51" s="490"/>
      <c r="G51" s="206">
        <v>134</v>
      </c>
      <c r="H51" s="486">
        <v>103</v>
      </c>
      <c r="I51" s="487"/>
      <c r="J51" s="489">
        <f t="shared" ref="J51:J61" si="18">IF(AND(G51&gt;0,H51&lt;&gt;""),H51/G51,"")</f>
        <v>0.76865671641791045</v>
      </c>
      <c r="K51" s="490"/>
      <c r="L51" s="206">
        <v>134</v>
      </c>
      <c r="M51" s="486">
        <v>98</v>
      </c>
      <c r="N51" s="487"/>
      <c r="O51" s="489">
        <f t="shared" ref="O51:O61" si="19">IF(AND(L51&gt;0,M51&lt;&gt;""),M51/L51,"")</f>
        <v>0.73134328358208955</v>
      </c>
      <c r="P51" s="490"/>
      <c r="Q51" s="206">
        <v>109</v>
      </c>
      <c r="R51" s="486">
        <v>75</v>
      </c>
      <c r="S51" s="487"/>
      <c r="T51" s="489">
        <f t="shared" ref="T51:T60" si="20">IF(AND(Q51&gt;0,R51&lt;&gt;""),R51/Q51,"")</f>
        <v>0.68807339449541283</v>
      </c>
      <c r="U51" s="490"/>
      <c r="V51" s="171">
        <v>112</v>
      </c>
      <c r="W51" s="488">
        <v>79</v>
      </c>
      <c r="X51" s="488"/>
      <c r="Y51" s="489">
        <f t="shared" si="16"/>
        <v>0.7053571428571429</v>
      </c>
      <c r="Z51" s="490"/>
      <c r="AA51" s="214"/>
      <c r="AB51" s="209">
        <v>2</v>
      </c>
    </row>
    <row r="52" spans="1:28" s="209" customFormat="1" ht="18.75" customHeight="1" x14ac:dyDescent="0.2">
      <c r="A52" s="213" t="s">
        <v>8</v>
      </c>
      <c r="B52" s="206">
        <v>176</v>
      </c>
      <c r="C52" s="486">
        <v>142</v>
      </c>
      <c r="D52" s="487"/>
      <c r="E52" s="489">
        <f t="shared" si="17"/>
        <v>0.80681818181818177</v>
      </c>
      <c r="F52" s="490"/>
      <c r="G52" s="206">
        <v>147</v>
      </c>
      <c r="H52" s="486">
        <v>90</v>
      </c>
      <c r="I52" s="487"/>
      <c r="J52" s="489">
        <f t="shared" si="18"/>
        <v>0.61224489795918369</v>
      </c>
      <c r="K52" s="490"/>
      <c r="L52" s="206">
        <v>134</v>
      </c>
      <c r="M52" s="486">
        <v>94</v>
      </c>
      <c r="N52" s="487"/>
      <c r="O52" s="489">
        <f t="shared" si="19"/>
        <v>0.70149253731343286</v>
      </c>
      <c r="P52" s="490"/>
      <c r="Q52" s="206">
        <v>128</v>
      </c>
      <c r="R52" s="486">
        <v>99</v>
      </c>
      <c r="S52" s="487"/>
      <c r="T52" s="489">
        <f>IF(AND(Q52&gt;0,R52&lt;&gt;""),R52/Q52,"")</f>
        <v>0.7734375</v>
      </c>
      <c r="U52" s="490"/>
      <c r="V52" s="171">
        <v>101</v>
      </c>
      <c r="W52" s="488">
        <v>75</v>
      </c>
      <c r="X52" s="488"/>
      <c r="Y52" s="489">
        <f t="shared" si="16"/>
        <v>0.74257425742574257</v>
      </c>
      <c r="Z52" s="490"/>
      <c r="AA52" s="214"/>
      <c r="AB52" s="209">
        <v>3</v>
      </c>
    </row>
    <row r="53" spans="1:28" s="209" customFormat="1" ht="18.75" customHeight="1" x14ac:dyDescent="0.2">
      <c r="A53" s="213" t="s">
        <v>9</v>
      </c>
      <c r="B53" s="206">
        <v>177</v>
      </c>
      <c r="C53" s="486">
        <v>153</v>
      </c>
      <c r="D53" s="487"/>
      <c r="E53" s="489">
        <f t="shared" si="17"/>
        <v>0.86440677966101698</v>
      </c>
      <c r="F53" s="490"/>
      <c r="G53" s="206">
        <v>177</v>
      </c>
      <c r="H53" s="486">
        <v>148</v>
      </c>
      <c r="I53" s="487"/>
      <c r="J53" s="489">
        <f t="shared" si="18"/>
        <v>0.83615819209039544</v>
      </c>
      <c r="K53" s="490"/>
      <c r="L53" s="206">
        <v>131</v>
      </c>
      <c r="M53" s="486">
        <v>98</v>
      </c>
      <c r="N53" s="487"/>
      <c r="O53" s="489">
        <f t="shared" si="19"/>
        <v>0.74809160305343514</v>
      </c>
      <c r="P53" s="490"/>
      <c r="Q53" s="206">
        <v>120</v>
      </c>
      <c r="R53" s="486">
        <v>100</v>
      </c>
      <c r="S53" s="487"/>
      <c r="T53" s="489">
        <f t="shared" si="20"/>
        <v>0.83333333333333337</v>
      </c>
      <c r="U53" s="490"/>
      <c r="V53" s="171">
        <v>131</v>
      </c>
      <c r="W53" s="488">
        <v>108</v>
      </c>
      <c r="X53" s="488"/>
      <c r="Y53" s="489">
        <f t="shared" si="16"/>
        <v>0.82442748091603058</v>
      </c>
      <c r="Z53" s="490"/>
      <c r="AA53" s="214"/>
      <c r="AB53" s="209">
        <v>4</v>
      </c>
    </row>
    <row r="54" spans="1:28" s="209" customFormat="1" ht="18.75" customHeight="1" x14ac:dyDescent="0.2">
      <c r="A54" s="213" t="s">
        <v>1</v>
      </c>
      <c r="B54" s="206">
        <v>187</v>
      </c>
      <c r="C54" s="486">
        <v>123</v>
      </c>
      <c r="D54" s="487"/>
      <c r="E54" s="489">
        <f t="shared" si="17"/>
        <v>0.65775401069518713</v>
      </c>
      <c r="F54" s="490"/>
      <c r="G54" s="206">
        <v>198</v>
      </c>
      <c r="H54" s="486">
        <v>132</v>
      </c>
      <c r="I54" s="487"/>
      <c r="J54" s="489">
        <f t="shared" si="18"/>
        <v>0.66666666666666663</v>
      </c>
      <c r="K54" s="490"/>
      <c r="L54" s="206">
        <v>167</v>
      </c>
      <c r="M54" s="486">
        <v>99</v>
      </c>
      <c r="N54" s="487"/>
      <c r="O54" s="489">
        <f t="shared" si="19"/>
        <v>0.59281437125748504</v>
      </c>
      <c r="P54" s="490"/>
      <c r="Q54" s="206">
        <v>144</v>
      </c>
      <c r="R54" s="486">
        <v>90</v>
      </c>
      <c r="S54" s="487"/>
      <c r="T54" s="489">
        <f t="shared" si="20"/>
        <v>0.625</v>
      </c>
      <c r="U54" s="490"/>
      <c r="V54" s="171">
        <v>112</v>
      </c>
      <c r="W54" s="488">
        <v>59</v>
      </c>
      <c r="X54" s="488"/>
      <c r="Y54" s="489">
        <f t="shared" si="16"/>
        <v>0.5267857142857143</v>
      </c>
      <c r="Z54" s="490"/>
      <c r="AA54" s="214"/>
      <c r="AB54" s="209">
        <v>5</v>
      </c>
    </row>
    <row r="55" spans="1:28" s="209" customFormat="1" ht="18.75" customHeight="1" x14ac:dyDescent="0.2">
      <c r="A55" s="213" t="s">
        <v>2</v>
      </c>
      <c r="B55" s="206">
        <v>199</v>
      </c>
      <c r="C55" s="486">
        <v>122</v>
      </c>
      <c r="D55" s="487"/>
      <c r="E55" s="489">
        <f t="shared" si="17"/>
        <v>0.61306532663316582</v>
      </c>
      <c r="F55" s="490"/>
      <c r="G55" s="206">
        <v>198</v>
      </c>
      <c r="H55" s="486">
        <v>114</v>
      </c>
      <c r="I55" s="487"/>
      <c r="J55" s="489">
        <f t="shared" si="18"/>
        <v>0.5757575757575758</v>
      </c>
      <c r="K55" s="490"/>
      <c r="L55" s="206">
        <v>203</v>
      </c>
      <c r="M55" s="486">
        <v>116</v>
      </c>
      <c r="N55" s="487"/>
      <c r="O55" s="489">
        <f t="shared" si="19"/>
        <v>0.5714285714285714</v>
      </c>
      <c r="P55" s="490"/>
      <c r="Q55" s="206">
        <v>168</v>
      </c>
      <c r="R55" s="486">
        <v>108</v>
      </c>
      <c r="S55" s="487"/>
      <c r="T55" s="489">
        <f t="shared" si="20"/>
        <v>0.6428571428571429</v>
      </c>
      <c r="U55" s="490"/>
      <c r="V55" s="171">
        <v>141</v>
      </c>
      <c r="W55" s="488">
        <v>84</v>
      </c>
      <c r="X55" s="488"/>
      <c r="Y55" s="489">
        <f t="shared" si="16"/>
        <v>0.5957446808510638</v>
      </c>
      <c r="Z55" s="490"/>
      <c r="AA55" s="214"/>
      <c r="AB55" s="209">
        <v>6</v>
      </c>
    </row>
    <row r="56" spans="1:28" s="209" customFormat="1" ht="18.75" customHeight="1" x14ac:dyDescent="0.2">
      <c r="A56" s="213" t="s">
        <v>3</v>
      </c>
      <c r="B56" s="206">
        <v>121</v>
      </c>
      <c r="C56" s="486">
        <v>58</v>
      </c>
      <c r="D56" s="487"/>
      <c r="E56" s="489">
        <f t="shared" si="17"/>
        <v>0.47933884297520662</v>
      </c>
      <c r="F56" s="490"/>
      <c r="G56" s="206">
        <v>178</v>
      </c>
      <c r="H56" s="486">
        <v>98</v>
      </c>
      <c r="I56" s="487"/>
      <c r="J56" s="489">
        <f t="shared" si="18"/>
        <v>0.550561797752809</v>
      </c>
      <c r="K56" s="490"/>
      <c r="L56" s="206">
        <v>167</v>
      </c>
      <c r="M56" s="486">
        <v>89</v>
      </c>
      <c r="N56" s="487"/>
      <c r="O56" s="489">
        <f t="shared" si="19"/>
        <v>0.53293413173652693</v>
      </c>
      <c r="P56" s="490"/>
      <c r="Q56" s="206">
        <v>193</v>
      </c>
      <c r="R56" s="486">
        <v>92</v>
      </c>
      <c r="S56" s="487"/>
      <c r="T56" s="489">
        <f t="shared" si="20"/>
        <v>0.47668393782383417</v>
      </c>
      <c r="U56" s="490"/>
      <c r="V56" s="171">
        <v>164</v>
      </c>
      <c r="W56" s="488">
        <v>91</v>
      </c>
      <c r="X56" s="488"/>
      <c r="Y56" s="489">
        <f t="shared" si="16"/>
        <v>0.55487804878048785</v>
      </c>
      <c r="Z56" s="490"/>
      <c r="AA56" s="214"/>
      <c r="AB56" s="209">
        <v>7</v>
      </c>
    </row>
    <row r="57" spans="1:28" s="209" customFormat="1" ht="18.75" customHeight="1" x14ac:dyDescent="0.2">
      <c r="A57" s="215" t="s">
        <v>4</v>
      </c>
      <c r="B57" s="206">
        <v>99</v>
      </c>
      <c r="C57" s="486">
        <v>50</v>
      </c>
      <c r="D57" s="487"/>
      <c r="E57" s="489">
        <f t="shared" si="17"/>
        <v>0.50505050505050508</v>
      </c>
      <c r="F57" s="490"/>
      <c r="G57" s="206">
        <v>153</v>
      </c>
      <c r="H57" s="486">
        <v>69</v>
      </c>
      <c r="I57" s="487"/>
      <c r="J57" s="489">
        <f t="shared" si="18"/>
        <v>0.45098039215686275</v>
      </c>
      <c r="K57" s="490"/>
      <c r="L57" s="206">
        <v>164</v>
      </c>
      <c r="M57" s="486">
        <v>79</v>
      </c>
      <c r="N57" s="487"/>
      <c r="O57" s="489">
        <f t="shared" si="19"/>
        <v>0.48170731707317072</v>
      </c>
      <c r="P57" s="490"/>
      <c r="Q57" s="206">
        <v>145</v>
      </c>
      <c r="R57" s="486">
        <v>73</v>
      </c>
      <c r="S57" s="487"/>
      <c r="T57" s="489">
        <f t="shared" si="20"/>
        <v>0.50344827586206897</v>
      </c>
      <c r="U57" s="490"/>
      <c r="V57" s="171">
        <v>163</v>
      </c>
      <c r="W57" s="488">
        <v>80</v>
      </c>
      <c r="X57" s="488"/>
      <c r="Y57" s="489">
        <f t="shared" si="16"/>
        <v>0.49079754601226994</v>
      </c>
      <c r="Z57" s="490"/>
      <c r="AA57" s="214"/>
      <c r="AB57" s="209">
        <v>8</v>
      </c>
    </row>
    <row r="58" spans="1:28" s="209" customFormat="1" ht="18.75" customHeight="1" x14ac:dyDescent="0.2">
      <c r="A58" s="213" t="s">
        <v>5</v>
      </c>
      <c r="B58" s="206">
        <v>87</v>
      </c>
      <c r="C58" s="486">
        <v>59</v>
      </c>
      <c r="D58" s="487"/>
      <c r="E58" s="489">
        <f t="shared" si="17"/>
        <v>0.67816091954022983</v>
      </c>
      <c r="F58" s="490"/>
      <c r="G58" s="206">
        <v>160</v>
      </c>
      <c r="H58" s="486">
        <v>64</v>
      </c>
      <c r="I58" s="487"/>
      <c r="J58" s="489">
        <f t="shared" si="18"/>
        <v>0.4</v>
      </c>
      <c r="K58" s="490"/>
      <c r="L58" s="206">
        <v>178</v>
      </c>
      <c r="M58" s="486">
        <v>87</v>
      </c>
      <c r="N58" s="487"/>
      <c r="O58" s="489">
        <f t="shared" si="19"/>
        <v>0.4887640449438202</v>
      </c>
      <c r="P58" s="490"/>
      <c r="Q58" s="206">
        <v>162</v>
      </c>
      <c r="R58" s="486">
        <v>87</v>
      </c>
      <c r="S58" s="487"/>
      <c r="T58" s="489">
        <f t="shared" si="20"/>
        <v>0.53703703703703709</v>
      </c>
      <c r="U58" s="490"/>
      <c r="V58" s="171">
        <v>163</v>
      </c>
      <c r="W58" s="488">
        <v>93</v>
      </c>
      <c r="X58" s="488"/>
      <c r="Y58" s="489">
        <f t="shared" si="16"/>
        <v>0.57055214723926384</v>
      </c>
      <c r="Z58" s="490"/>
      <c r="AA58" s="214"/>
      <c r="AB58" s="209">
        <v>9</v>
      </c>
    </row>
    <row r="59" spans="1:28" s="209" customFormat="1" ht="18.75" customHeight="1" x14ac:dyDescent="0.2">
      <c r="A59" s="216" t="s">
        <v>222</v>
      </c>
      <c r="B59" s="206" t="s">
        <v>118</v>
      </c>
      <c r="C59" s="486" t="s">
        <v>118</v>
      </c>
      <c r="D59" s="487"/>
      <c r="E59" s="489" t="str">
        <f t="shared" si="17"/>
        <v/>
      </c>
      <c r="F59" s="490"/>
      <c r="G59" s="206">
        <v>48</v>
      </c>
      <c r="H59" s="486">
        <v>37</v>
      </c>
      <c r="I59" s="487"/>
      <c r="J59" s="489">
        <f t="shared" si="18"/>
        <v>0.77083333333333337</v>
      </c>
      <c r="K59" s="490"/>
      <c r="L59" s="206">
        <v>29</v>
      </c>
      <c r="M59" s="486">
        <v>14</v>
      </c>
      <c r="N59" s="487"/>
      <c r="O59" s="489">
        <f t="shared" si="19"/>
        <v>0.48275862068965519</v>
      </c>
      <c r="P59" s="490"/>
      <c r="Q59" s="206">
        <v>53</v>
      </c>
      <c r="R59" s="486">
        <v>30</v>
      </c>
      <c r="S59" s="487"/>
      <c r="T59" s="489">
        <f t="shared" si="20"/>
        <v>0.56603773584905659</v>
      </c>
      <c r="U59" s="490"/>
      <c r="V59" s="171">
        <v>85</v>
      </c>
      <c r="W59" s="488">
        <v>54</v>
      </c>
      <c r="X59" s="488"/>
      <c r="Y59" s="489">
        <f t="shared" si="16"/>
        <v>0.63529411764705879</v>
      </c>
      <c r="Z59" s="490"/>
      <c r="AA59" s="214"/>
      <c r="AB59" s="209">
        <v>10</v>
      </c>
    </row>
    <row r="60" spans="1:28" s="209" customFormat="1" ht="18.75" customHeight="1" x14ac:dyDescent="0.2">
      <c r="A60" s="216" t="s">
        <v>223</v>
      </c>
      <c r="B60" s="206" t="s">
        <v>118</v>
      </c>
      <c r="C60" s="486" t="s">
        <v>118</v>
      </c>
      <c r="D60" s="487"/>
      <c r="E60" s="489" t="str">
        <f t="shared" si="17"/>
        <v/>
      </c>
      <c r="F60" s="490"/>
      <c r="G60" s="206">
        <v>47</v>
      </c>
      <c r="H60" s="486">
        <v>29</v>
      </c>
      <c r="I60" s="487"/>
      <c r="J60" s="489">
        <f t="shared" si="18"/>
        <v>0.61702127659574468</v>
      </c>
      <c r="K60" s="490"/>
      <c r="L60" s="206">
        <v>43</v>
      </c>
      <c r="M60" s="486">
        <v>36</v>
      </c>
      <c r="N60" s="487"/>
      <c r="O60" s="489">
        <f t="shared" si="19"/>
        <v>0.83720930232558144</v>
      </c>
      <c r="P60" s="490"/>
      <c r="Q60" s="206">
        <v>21</v>
      </c>
      <c r="R60" s="486">
        <v>5</v>
      </c>
      <c r="S60" s="487"/>
      <c r="T60" s="489">
        <f t="shared" si="20"/>
        <v>0.23809523809523808</v>
      </c>
      <c r="U60" s="490"/>
      <c r="V60" s="171">
        <v>37</v>
      </c>
      <c r="W60" s="488">
        <v>34</v>
      </c>
      <c r="X60" s="488"/>
      <c r="Y60" s="489">
        <f t="shared" si="16"/>
        <v>0.91891891891891897</v>
      </c>
      <c r="Z60" s="490"/>
      <c r="AA60" s="214"/>
      <c r="AB60" s="209">
        <v>11</v>
      </c>
    </row>
    <row r="61" spans="1:28" s="209" customFormat="1" ht="18.75" customHeight="1" x14ac:dyDescent="0.2">
      <c r="A61" s="216" t="s">
        <v>224</v>
      </c>
      <c r="B61" s="206" t="s">
        <v>118</v>
      </c>
      <c r="C61" s="486" t="s">
        <v>118</v>
      </c>
      <c r="D61" s="487"/>
      <c r="E61" s="489" t="str">
        <f t="shared" si="17"/>
        <v/>
      </c>
      <c r="F61" s="490"/>
      <c r="G61" s="206">
        <v>50</v>
      </c>
      <c r="H61" s="486">
        <v>43</v>
      </c>
      <c r="I61" s="487"/>
      <c r="J61" s="489">
        <f t="shared" si="18"/>
        <v>0.86</v>
      </c>
      <c r="K61" s="490"/>
      <c r="L61" s="206">
        <v>34</v>
      </c>
      <c r="M61" s="486">
        <v>29</v>
      </c>
      <c r="N61" s="487"/>
      <c r="O61" s="489">
        <f t="shared" si="19"/>
        <v>0.8529411764705882</v>
      </c>
      <c r="P61" s="490"/>
      <c r="Q61" s="206">
        <v>35</v>
      </c>
      <c r="R61" s="486">
        <v>32</v>
      </c>
      <c r="S61" s="487"/>
      <c r="T61" s="489">
        <f>IF(AND(Q61&gt;0,R61&lt;&gt;""),R61/Q61,"")</f>
        <v>0.91428571428571426</v>
      </c>
      <c r="U61" s="490"/>
      <c r="V61" s="171">
        <v>16</v>
      </c>
      <c r="W61" s="488">
        <v>15</v>
      </c>
      <c r="X61" s="488"/>
      <c r="Y61" s="489">
        <f t="shared" si="16"/>
        <v>0.9375</v>
      </c>
      <c r="Z61" s="490"/>
      <c r="AA61" s="214"/>
      <c r="AB61" s="209">
        <v>12</v>
      </c>
    </row>
    <row r="62" spans="1:28" ht="55.5" customHeight="1" x14ac:dyDescent="0.2">
      <c r="A62" s="502" t="s">
        <v>344</v>
      </c>
      <c r="B62" s="502"/>
      <c r="C62" s="502"/>
      <c r="D62" s="502"/>
      <c r="E62" s="502"/>
      <c r="F62" s="502"/>
      <c r="G62" s="502"/>
      <c r="H62" s="502"/>
      <c r="I62" s="502"/>
      <c r="J62" s="502"/>
      <c r="K62" s="502"/>
      <c r="L62" s="502"/>
      <c r="M62" s="502"/>
      <c r="N62" s="502"/>
      <c r="O62" s="502"/>
      <c r="P62" s="502"/>
      <c r="Q62" s="502"/>
      <c r="R62" s="502"/>
      <c r="S62" s="502"/>
      <c r="T62" s="502"/>
      <c r="U62" s="502"/>
      <c r="V62" s="502"/>
      <c r="W62" s="166"/>
      <c r="X62" s="166"/>
      <c r="Y62" s="166"/>
      <c r="Z62" s="166"/>
      <c r="AA62" s="166"/>
    </row>
    <row r="63" spans="1:28" s="14" customFormat="1" ht="18" customHeight="1" x14ac:dyDescent="0.2">
      <c r="A63" s="6" t="s">
        <v>343</v>
      </c>
    </row>
    <row r="64" spans="1:28" ht="49.5" customHeight="1" x14ac:dyDescent="0.2">
      <c r="A64" s="458" t="s">
        <v>376</v>
      </c>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60"/>
      <c r="AA64" s="139"/>
    </row>
  </sheetData>
  <sheetProtection password="DC9F" sheet="1"/>
  <mergeCells count="205">
    <mergeCell ref="A47:A49"/>
    <mergeCell ref="V9:V10"/>
    <mergeCell ref="A25:AA25"/>
    <mergeCell ref="W9:X9"/>
    <mergeCell ref="V8:X8"/>
    <mergeCell ref="Y8:AA8"/>
    <mergeCell ref="Z9:AA9"/>
    <mergeCell ref="T49:U49"/>
    <mergeCell ref="K33:L33"/>
    <mergeCell ref="M33:N33"/>
    <mergeCell ref="C32:N32"/>
    <mergeCell ref="C31:N31"/>
    <mergeCell ref="A45:V45"/>
    <mergeCell ref="G33:H33"/>
    <mergeCell ref="I33:J33"/>
    <mergeCell ref="E33:F33"/>
    <mergeCell ref="C33:D33"/>
    <mergeCell ref="A35:B35"/>
    <mergeCell ref="A31:B34"/>
    <mergeCell ref="A41:V41"/>
    <mergeCell ref="A39:V39"/>
    <mergeCell ref="Q31:V31"/>
    <mergeCell ref="L47:P47"/>
    <mergeCell ref="C48:F48"/>
    <mergeCell ref="E49:F49"/>
    <mergeCell ref="O53:P53"/>
    <mergeCell ref="H50:I50"/>
    <mergeCell ref="E52:F52"/>
    <mergeCell ref="O1:P1"/>
    <mergeCell ref="G8:G10"/>
    <mergeCell ref="H8:K8"/>
    <mergeCell ref="H9:I9"/>
    <mergeCell ref="J9:K9"/>
    <mergeCell ref="G47:K47"/>
    <mergeCell ref="A6:P6"/>
    <mergeCell ref="L7:P7"/>
    <mergeCell ref="A7:A10"/>
    <mergeCell ref="B7:F7"/>
    <mergeCell ref="B8:B10"/>
    <mergeCell ref="C8:F8"/>
    <mergeCell ref="C9:D9"/>
    <mergeCell ref="E9:F9"/>
    <mergeCell ref="G7:K7"/>
    <mergeCell ref="L8:L10"/>
    <mergeCell ref="M8:P8"/>
    <mergeCell ref="A43:AA43"/>
    <mergeCell ref="B47:F47"/>
    <mergeCell ref="T1:AA1"/>
    <mergeCell ref="A46:P46"/>
    <mergeCell ref="O61:P61"/>
    <mergeCell ref="E53:F53"/>
    <mergeCell ref="C52:D52"/>
    <mergeCell ref="C53:D53"/>
    <mergeCell ref="C50:D50"/>
    <mergeCell ref="C51:D51"/>
    <mergeCell ref="H57:I57"/>
    <mergeCell ref="H58:I58"/>
    <mergeCell ref="H54:I54"/>
    <mergeCell ref="H55:I55"/>
    <mergeCell ref="E54:F54"/>
    <mergeCell ref="E56:F56"/>
    <mergeCell ref="E58:F58"/>
    <mergeCell ref="C54:D54"/>
    <mergeCell ref="C55:D55"/>
    <mergeCell ref="J53:K53"/>
    <mergeCell ref="M52:N52"/>
    <mergeCell ref="O52:P52"/>
    <mergeCell ref="H52:I52"/>
    <mergeCell ref="J52:K52"/>
    <mergeCell ref="H48:K48"/>
    <mergeCell ref="B48:B49"/>
    <mergeCell ref="J49:K49"/>
    <mergeCell ref="A3:V3"/>
    <mergeCell ref="A5:V5"/>
    <mergeCell ref="Y9:Y10"/>
    <mergeCell ref="A23:V23"/>
    <mergeCell ref="R48:U48"/>
    <mergeCell ref="A27:V27"/>
    <mergeCell ref="A29:V29"/>
    <mergeCell ref="A30:P30"/>
    <mergeCell ref="A38:B38"/>
    <mergeCell ref="A37:B37"/>
    <mergeCell ref="A36:B36"/>
    <mergeCell ref="L48:L49"/>
    <mergeCell ref="M48:P48"/>
    <mergeCell ref="M49:N49"/>
    <mergeCell ref="O49:P49"/>
    <mergeCell ref="G48:G49"/>
    <mergeCell ref="Q7:U7"/>
    <mergeCell ref="Q8:Q10"/>
    <mergeCell ref="R8:U8"/>
    <mergeCell ref="T9:U9"/>
    <mergeCell ref="O9:P9"/>
    <mergeCell ref="V7:AA7"/>
    <mergeCell ref="R9:S9"/>
    <mergeCell ref="M9:N9"/>
    <mergeCell ref="C49:D49"/>
    <mergeCell ref="A64:Z64"/>
    <mergeCell ref="R50:S50"/>
    <mergeCell ref="R51:S51"/>
    <mergeCell ref="O56:P56"/>
    <mergeCell ref="M57:N57"/>
    <mergeCell ref="O57:P57"/>
    <mergeCell ref="M58:N58"/>
    <mergeCell ref="O58:P58"/>
    <mergeCell ref="R52:S52"/>
    <mergeCell ref="R53:S53"/>
    <mergeCell ref="O55:P55"/>
    <mergeCell ref="M54:N54"/>
    <mergeCell ref="R57:S57"/>
    <mergeCell ref="R58:S58"/>
    <mergeCell ref="R54:S54"/>
    <mergeCell ref="R55:S55"/>
    <mergeCell ref="O54:P54"/>
    <mergeCell ref="J57:K57"/>
    <mergeCell ref="J56:K56"/>
    <mergeCell ref="J54:K54"/>
    <mergeCell ref="J60:K60"/>
    <mergeCell ref="J55:K55"/>
    <mergeCell ref="E50:F50"/>
    <mergeCell ref="A62:V62"/>
    <mergeCell ref="E51:F51"/>
    <mergeCell ref="J50:K50"/>
    <mergeCell ref="M50:N50"/>
    <mergeCell ref="C61:D61"/>
    <mergeCell ref="E61:F61"/>
    <mergeCell ref="E55:F55"/>
    <mergeCell ref="E57:F57"/>
    <mergeCell ref="C58:D58"/>
    <mergeCell ref="H56:I56"/>
    <mergeCell ref="M55:N55"/>
    <mergeCell ref="M61:N61"/>
    <mergeCell ref="C56:D56"/>
    <mergeCell ref="C57:D57"/>
    <mergeCell ref="J61:K61"/>
    <mergeCell ref="E60:F60"/>
    <mergeCell ref="H60:I60"/>
    <mergeCell ref="C59:D59"/>
    <mergeCell ref="E59:F59"/>
    <mergeCell ref="C60:D60"/>
    <mergeCell ref="J58:K58"/>
    <mergeCell ref="H61:I61"/>
    <mergeCell ref="H59:I59"/>
    <mergeCell ref="O59:P59"/>
    <mergeCell ref="Q47:U47"/>
    <mergeCell ref="V48:V49"/>
    <mergeCell ref="W49:X49"/>
    <mergeCell ref="Y49:Z49"/>
    <mergeCell ref="T50:U50"/>
    <mergeCell ref="T52:U52"/>
    <mergeCell ref="T51:U51"/>
    <mergeCell ref="T55:U55"/>
    <mergeCell ref="T54:U54"/>
    <mergeCell ref="T53:U53"/>
    <mergeCell ref="R49:S49"/>
    <mergeCell ref="O50:P50"/>
    <mergeCell ref="M51:N51"/>
    <mergeCell ref="O51:P51"/>
    <mergeCell ref="H51:I51"/>
    <mergeCell ref="J51:K51"/>
    <mergeCell ref="H53:I53"/>
    <mergeCell ref="M53:N53"/>
    <mergeCell ref="Q48:Q49"/>
    <mergeCell ref="H49:I49"/>
    <mergeCell ref="M60:N60"/>
    <mergeCell ref="R59:S59"/>
    <mergeCell ref="R56:S56"/>
    <mergeCell ref="J59:K59"/>
    <mergeCell ref="R60:S60"/>
    <mergeCell ref="W56:X56"/>
    <mergeCell ref="W57:X57"/>
    <mergeCell ref="W58:X58"/>
    <mergeCell ref="W59:X59"/>
    <mergeCell ref="W60:X60"/>
    <mergeCell ref="M59:N59"/>
    <mergeCell ref="O60:P60"/>
    <mergeCell ref="M56:N56"/>
    <mergeCell ref="Y61:Z61"/>
    <mergeCell ref="V47:Z47"/>
    <mergeCell ref="W48:Z48"/>
    <mergeCell ref="Y51:Z51"/>
    <mergeCell ref="Y52:Z52"/>
    <mergeCell ref="Y53:Z53"/>
    <mergeCell ref="Y54:Z54"/>
    <mergeCell ref="Y55:Z55"/>
    <mergeCell ref="Y56:Z56"/>
    <mergeCell ref="Y57:Z57"/>
    <mergeCell ref="Y58:Z58"/>
    <mergeCell ref="Y59:Z59"/>
    <mergeCell ref="W50:X50"/>
    <mergeCell ref="W51:X51"/>
    <mergeCell ref="W52:X52"/>
    <mergeCell ref="Y60:Z60"/>
    <mergeCell ref="Y50:Z50"/>
    <mergeCell ref="R61:S61"/>
    <mergeCell ref="W53:X53"/>
    <mergeCell ref="W54:X54"/>
    <mergeCell ref="W55:X55"/>
    <mergeCell ref="W61:X61"/>
    <mergeCell ref="T61:U61"/>
    <mergeCell ref="T60:U60"/>
    <mergeCell ref="T59:U59"/>
    <mergeCell ref="T58:U58"/>
    <mergeCell ref="T57:U57"/>
    <mergeCell ref="T56:U56"/>
  </mergeCells>
  <phoneticPr fontId="14" type="noConversion"/>
  <conditionalFormatting sqref="D18">
    <cfRule type="cellIs" dxfId="84" priority="57" stopIfTrue="1" operator="greaterThan">
      <formula>1</formula>
    </cfRule>
  </conditionalFormatting>
  <conditionalFormatting sqref="D19:D22">
    <cfRule type="cellIs" dxfId="83" priority="56" stopIfTrue="1" operator="greaterThan">
      <formula>1</formula>
    </cfRule>
  </conditionalFormatting>
  <conditionalFormatting sqref="D11:D17">
    <cfRule type="cellIs" dxfId="82" priority="55" stopIfTrue="1" operator="greaterThan">
      <formula>1</formula>
    </cfRule>
  </conditionalFormatting>
  <conditionalFormatting sqref="F11:F22">
    <cfRule type="cellIs" dxfId="81" priority="54" stopIfTrue="1" operator="greaterThan">
      <formula>1</formula>
    </cfRule>
  </conditionalFormatting>
  <conditionalFormatting sqref="I11:I19">
    <cfRule type="cellIs" dxfId="80" priority="53" stopIfTrue="1" operator="greaterThan">
      <formula>1</formula>
    </cfRule>
  </conditionalFormatting>
  <conditionalFormatting sqref="K11:K19">
    <cfRule type="cellIs" dxfId="79" priority="52" stopIfTrue="1" operator="greaterThan">
      <formula>1</formula>
    </cfRule>
  </conditionalFormatting>
  <conditionalFormatting sqref="N11:N19">
    <cfRule type="cellIs" dxfId="78" priority="51" stopIfTrue="1" operator="greaterThan">
      <formula>1</formula>
    </cfRule>
  </conditionalFormatting>
  <conditionalFormatting sqref="P11:P19">
    <cfRule type="cellIs" dxfId="77" priority="50" stopIfTrue="1" operator="greaterThan">
      <formula>1</formula>
    </cfRule>
  </conditionalFormatting>
  <conditionalFormatting sqref="E50:F61">
    <cfRule type="cellIs" dxfId="76" priority="49" stopIfTrue="1" operator="greaterThan">
      <formula>1</formula>
    </cfRule>
  </conditionalFormatting>
  <conditionalFormatting sqref="J50:K61">
    <cfRule type="cellIs" dxfId="75" priority="48" stopIfTrue="1" operator="greaterThan">
      <formula>1</formula>
    </cfRule>
  </conditionalFormatting>
  <conditionalFormatting sqref="O50:P61">
    <cfRule type="cellIs" dxfId="74" priority="47" stopIfTrue="1" operator="greaterThan">
      <formula>1</formula>
    </cfRule>
  </conditionalFormatting>
  <conditionalFormatting sqref="J50:K61">
    <cfRule type="cellIs" dxfId="73" priority="46" stopIfTrue="1" operator="greaterThan">
      <formula>1</formula>
    </cfRule>
  </conditionalFormatting>
  <conditionalFormatting sqref="O50:P61">
    <cfRule type="cellIs" dxfId="72" priority="45" stopIfTrue="1" operator="greaterThan">
      <formula>1</formula>
    </cfRule>
  </conditionalFormatting>
  <conditionalFormatting sqref="T50:T61">
    <cfRule type="cellIs" dxfId="71" priority="41" stopIfTrue="1" operator="greaterThan">
      <formula>1</formula>
    </cfRule>
  </conditionalFormatting>
  <conditionalFormatting sqref="X11:X22">
    <cfRule type="cellIs" dxfId="70" priority="44" stopIfTrue="1" operator="greaterThan">
      <formula>1</formula>
    </cfRule>
  </conditionalFormatting>
  <conditionalFormatting sqref="AA11:AA22">
    <cfRule type="cellIs" dxfId="69" priority="43" stopIfTrue="1" operator="greaterThan">
      <formula>1</formula>
    </cfRule>
  </conditionalFormatting>
  <conditionalFormatting sqref="T50:T61">
    <cfRule type="cellIs" dxfId="68" priority="42" stopIfTrue="1" operator="greaterThan">
      <formula>1</formula>
    </cfRule>
  </conditionalFormatting>
  <conditionalFormatting sqref="V35:AA38">
    <cfRule type="cellIs" dxfId="67" priority="31" stopIfTrue="1" operator="greaterThan">
      <formula>1</formula>
    </cfRule>
  </conditionalFormatting>
  <conditionalFormatting sqref="D35:D38">
    <cfRule type="cellIs" dxfId="66" priority="38" stopIfTrue="1" operator="greaterThan">
      <formula>1</formula>
    </cfRule>
  </conditionalFormatting>
  <conditionalFormatting sqref="P35:P38">
    <cfRule type="cellIs" dxfId="65" priority="33" stopIfTrue="1" operator="greaterThan">
      <formula>1</formula>
    </cfRule>
  </conditionalFormatting>
  <conditionalFormatting sqref="S35:S38">
    <cfRule type="cellIs" dxfId="64" priority="32" stopIfTrue="1" operator="greaterThan">
      <formula>1</formula>
    </cfRule>
  </conditionalFormatting>
  <conditionalFormatting sqref="L35:L38">
    <cfRule type="cellIs" dxfId="63" priority="2" stopIfTrue="1" operator="greaterThan">
      <formula>1</formula>
    </cfRule>
  </conditionalFormatting>
  <conditionalFormatting sqref="S11:S22">
    <cfRule type="cellIs" dxfId="62" priority="21" stopIfTrue="1" operator="greaterThan">
      <formula>1</formula>
    </cfRule>
  </conditionalFormatting>
  <conditionalFormatting sqref="U11:U22">
    <cfRule type="cellIs" dxfId="61" priority="20" stopIfTrue="1" operator="greaterThan">
      <formula>1</formula>
    </cfRule>
  </conditionalFormatting>
  <conditionalFormatting sqref="I20:I22">
    <cfRule type="cellIs" dxfId="60" priority="19" stopIfTrue="1" operator="greaterThan">
      <formula>1</formula>
    </cfRule>
  </conditionalFormatting>
  <conditionalFormatting sqref="K20:K22">
    <cfRule type="cellIs" dxfId="59" priority="18" stopIfTrue="1" operator="greaterThan">
      <formula>1</formula>
    </cfRule>
  </conditionalFormatting>
  <conditionalFormatting sqref="N20:N22">
    <cfRule type="cellIs" dxfId="58" priority="17" stopIfTrue="1" operator="greaterThan">
      <formula>1</formula>
    </cfRule>
  </conditionalFormatting>
  <conditionalFormatting sqref="P20:P22">
    <cfRule type="cellIs" dxfId="57" priority="16" stopIfTrue="1" operator="greaterThan">
      <formula>1</formula>
    </cfRule>
  </conditionalFormatting>
  <conditionalFormatting sqref="N35:N38">
    <cfRule type="cellIs" dxfId="56" priority="1" stopIfTrue="1" operator="greaterThan">
      <formula>1</formula>
    </cfRule>
  </conditionalFormatting>
  <conditionalFormatting sqref="Y50:Y61">
    <cfRule type="cellIs" dxfId="55" priority="12" stopIfTrue="1" operator="greaterThan">
      <formula>1</formula>
    </cfRule>
  </conditionalFormatting>
  <conditionalFormatting sqref="Y50:Y61">
    <cfRule type="cellIs" dxfId="54" priority="13" stopIfTrue="1" operator="greaterThan">
      <formula>1</formula>
    </cfRule>
  </conditionalFormatting>
  <conditionalFormatting sqref="F35:F38">
    <cfRule type="cellIs" dxfId="53" priority="5" stopIfTrue="1" operator="greaterThan">
      <formula>1</formula>
    </cfRule>
  </conditionalFormatting>
  <conditionalFormatting sqref="H35:H38">
    <cfRule type="cellIs" dxfId="52" priority="4" stopIfTrue="1" operator="greaterThan">
      <formula>1</formula>
    </cfRule>
  </conditionalFormatting>
  <conditionalFormatting sqref="J35:J38">
    <cfRule type="cellIs" dxfId="51" priority="3" stopIfTrue="1" operator="greaterThan">
      <formula>1</formula>
    </cfRule>
  </conditionalFormatting>
  <dataValidations count="2">
    <dataValidation type="whole" allowBlank="1" showInputMessage="1" showErrorMessage="1" sqref="Y11:Z22 J11:J19 L11:M19 G11:H19 V50:W61 O11:O19 V11:W22 Q35:R38 T35:U38 O35:O38 G35:G38">
      <formula1>0</formula1>
      <formula2>10000</formula2>
    </dataValidation>
    <dataValidation allowBlank="1" showInputMessage="1" showErrorMessage="1" sqref="T11:T19 Q50:S61"/>
  </dataValidations>
  <hyperlinks>
    <hyperlink ref="Y2" location="'1_IAA'!A1" display="Anterior"/>
    <hyperlink ref="Z2" location="'3_Av Ext'!A1" display="Seguinte"/>
    <hyperlink ref="X2" location="Início!A1" display="Início"/>
  </hyperlinks>
  <printOptions horizontalCentered="1"/>
  <pageMargins left="0.23622047244094491" right="0.23622047244094491" top="0.55118110236220474" bottom="0.55118110236220474" header="0.31496062992125984" footer="0.31496062992125984"/>
  <pageSetup paperSize="8" scale="51" orientation="landscape" r:id="rId1"/>
  <headerFooter alignWithMargins="0">
    <oddHeader>&amp;C&amp;"Calibri,Negrito"&amp;16Relatório TEIP 2015/2016</oddHeader>
    <oddFooter>&amp;RPág.&amp;P de &amp;N da secção 2</oddFoot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dimension ref="A1:AA60"/>
  <sheetViews>
    <sheetView showGridLines="0" workbookViewId="0">
      <selection activeCell="Z50" sqref="Z50"/>
    </sheetView>
  </sheetViews>
  <sheetFormatPr defaultRowHeight="12.75" x14ac:dyDescent="0.2"/>
  <cols>
    <col min="1" max="1" width="8.7109375" customWidth="1"/>
    <col min="2" max="15" width="6.140625" customWidth="1"/>
    <col min="16" max="16" width="14.42578125" hidden="1" customWidth="1"/>
    <col min="17" max="17" width="9.28515625" hidden="1" customWidth="1"/>
    <col min="18" max="18" width="7.42578125" hidden="1" customWidth="1"/>
    <col min="19" max="20" width="9.140625" hidden="1" customWidth="1"/>
    <col min="21" max="21" width="15.7109375" hidden="1" customWidth="1"/>
    <col min="22" max="27" width="9.140625" customWidth="1"/>
  </cols>
  <sheetData>
    <row r="1" spans="1:18" s="13" customFormat="1" ht="30" customHeight="1" x14ac:dyDescent="0.2">
      <c r="A1" s="110" t="str">
        <f>IF(Início!B6&lt;&gt;"",Início!B6,"")</f>
        <v>Agrupamento de Escolas Maximinos</v>
      </c>
      <c r="B1" s="29"/>
      <c r="C1" s="30"/>
      <c r="D1" s="30"/>
      <c r="E1" s="30"/>
      <c r="F1" s="30"/>
      <c r="G1" s="30"/>
      <c r="H1" s="30"/>
      <c r="I1" s="30"/>
      <c r="J1" s="30"/>
      <c r="K1" s="31"/>
      <c r="L1" s="434">
        <f>IF(Início!G5&gt;0,Início!G5,"")</f>
        <v>303089</v>
      </c>
      <c r="M1" s="527"/>
      <c r="N1" s="31"/>
      <c r="O1" s="31"/>
      <c r="P1" s="13">
        <f>L1</f>
        <v>303089</v>
      </c>
    </row>
    <row r="2" spans="1:18" x14ac:dyDescent="0.2">
      <c r="I2" s="26" t="s">
        <v>17</v>
      </c>
      <c r="J2" s="43"/>
      <c r="K2" s="27" t="s">
        <v>19</v>
      </c>
      <c r="L2" s="43"/>
      <c r="M2" s="26" t="s">
        <v>18</v>
      </c>
      <c r="N2" s="26"/>
      <c r="O2" s="26"/>
    </row>
    <row r="3" spans="1:18" ht="2.25" customHeight="1" x14ac:dyDescent="0.2">
      <c r="I3" s="26"/>
      <c r="J3" s="43"/>
      <c r="K3" s="27"/>
      <c r="L3" s="43"/>
      <c r="M3" s="26"/>
      <c r="N3" s="26"/>
      <c r="O3" s="26"/>
    </row>
    <row r="4" spans="1:18" ht="36.75" customHeight="1" x14ac:dyDescent="0.2">
      <c r="A4" s="549" t="s">
        <v>130</v>
      </c>
      <c r="B4" s="550"/>
      <c r="C4" s="550"/>
      <c r="D4" s="550"/>
      <c r="E4" s="550"/>
      <c r="F4" s="550"/>
      <c r="G4" s="550"/>
      <c r="H4" s="550"/>
      <c r="I4" s="550"/>
      <c r="J4" s="550"/>
      <c r="K4" s="550"/>
      <c r="L4" s="550"/>
      <c r="M4" s="550"/>
      <c r="N4" s="550"/>
      <c r="O4" s="568"/>
    </row>
    <row r="5" spans="1:18" s="39" customFormat="1" ht="36.75" customHeight="1" x14ac:dyDescent="0.2">
      <c r="A5" s="461" t="s">
        <v>198</v>
      </c>
      <c r="B5" s="462"/>
      <c r="C5" s="462"/>
      <c r="D5" s="462"/>
      <c r="E5" s="462"/>
      <c r="F5" s="462"/>
      <c r="G5" s="462"/>
      <c r="H5" s="572"/>
      <c r="I5" s="572"/>
      <c r="J5" s="572"/>
      <c r="K5" s="572"/>
      <c r="L5" s="572"/>
      <c r="M5" s="572"/>
      <c r="N5" s="572"/>
      <c r="O5" s="572"/>
      <c r="P5" s="89"/>
      <c r="Q5" s="89"/>
      <c r="R5" s="89"/>
    </row>
    <row r="6" spans="1:18" ht="23.25" customHeight="1" x14ac:dyDescent="0.2">
      <c r="A6" s="549" t="s">
        <v>298</v>
      </c>
      <c r="B6" s="550"/>
      <c r="C6" s="550"/>
      <c r="D6" s="550"/>
      <c r="E6" s="550"/>
      <c r="F6" s="550"/>
      <c r="G6" s="550"/>
      <c r="H6" s="550"/>
      <c r="I6" s="550"/>
      <c r="J6" s="550"/>
      <c r="K6" s="550"/>
      <c r="L6" s="550"/>
      <c r="M6" s="550"/>
      <c r="N6" s="550"/>
      <c r="O6" s="568"/>
    </row>
    <row r="7" spans="1:18" s="243" customFormat="1" ht="7.5" customHeight="1" x14ac:dyDescent="0.2">
      <c r="A7" s="573"/>
      <c r="B7" s="574"/>
      <c r="C7" s="574"/>
      <c r="D7" s="574"/>
      <c r="E7" s="574"/>
      <c r="F7" s="574"/>
      <c r="G7" s="574"/>
      <c r="H7" s="574"/>
      <c r="I7" s="574"/>
      <c r="J7" s="574"/>
      <c r="K7" s="574"/>
      <c r="L7" s="574"/>
      <c r="M7" s="574"/>
      <c r="N7" s="574"/>
      <c r="O7" s="574"/>
    </row>
    <row r="8" spans="1:18" s="243" customFormat="1" ht="24" customHeight="1" x14ac:dyDescent="0.2">
      <c r="A8" s="569" t="s">
        <v>291</v>
      </c>
      <c r="B8" s="570"/>
      <c r="C8" s="570"/>
      <c r="D8" s="570"/>
      <c r="E8" s="570"/>
      <c r="F8" s="570"/>
      <c r="G8" s="570"/>
      <c r="H8" s="570"/>
      <c r="I8" s="570"/>
      <c r="J8" s="570"/>
      <c r="K8" s="570"/>
      <c r="L8" s="570"/>
      <c r="M8" s="571"/>
      <c r="N8" s="571"/>
      <c r="O8" s="571"/>
    </row>
    <row r="9" spans="1:18" s="243" customFormat="1" ht="18" customHeight="1" x14ac:dyDescent="0.2">
      <c r="A9" s="244"/>
      <c r="B9" s="575" t="s">
        <v>292</v>
      </c>
      <c r="C9" s="576"/>
      <c r="D9" s="575" t="s">
        <v>293</v>
      </c>
      <c r="E9" s="576"/>
      <c r="F9" s="575" t="s">
        <v>294</v>
      </c>
      <c r="G9" s="576"/>
      <c r="H9" s="575" t="s">
        <v>295</v>
      </c>
      <c r="I9" s="576"/>
      <c r="J9" s="575" t="s">
        <v>296</v>
      </c>
      <c r="K9" s="576"/>
      <c r="L9" s="245"/>
      <c r="M9" s="245"/>
      <c r="N9" s="245"/>
      <c r="O9" s="245"/>
    </row>
    <row r="10" spans="1:18" s="243" customFormat="1" ht="18" customHeight="1" x14ac:dyDescent="0.2">
      <c r="A10" s="244"/>
      <c r="B10" s="577" t="s">
        <v>345</v>
      </c>
      <c r="C10" s="578"/>
      <c r="D10" s="577" t="s">
        <v>346</v>
      </c>
      <c r="E10" s="578"/>
      <c r="F10" s="577" t="s">
        <v>345</v>
      </c>
      <c r="G10" s="578"/>
      <c r="H10" s="577" t="s">
        <v>346</v>
      </c>
      <c r="I10" s="578"/>
      <c r="J10" s="577" t="s">
        <v>345</v>
      </c>
      <c r="K10" s="578"/>
      <c r="L10" s="245"/>
      <c r="M10" s="245"/>
      <c r="N10" s="245"/>
      <c r="O10" s="245"/>
    </row>
    <row r="11" spans="1:18" s="243" customFormat="1" ht="7.5" customHeight="1" x14ac:dyDescent="0.2">
      <c r="A11" s="244"/>
      <c r="B11" s="245"/>
      <c r="C11" s="245"/>
      <c r="D11" s="245"/>
      <c r="E11" s="245"/>
      <c r="F11" s="245"/>
      <c r="G11" s="245"/>
      <c r="H11" s="245"/>
      <c r="I11" s="245"/>
      <c r="J11" s="245"/>
      <c r="K11" s="245"/>
      <c r="L11" s="245"/>
      <c r="M11" s="245"/>
      <c r="N11" s="245"/>
      <c r="O11" s="245"/>
    </row>
    <row r="12" spans="1:18" s="246" customFormat="1" ht="27.75" customHeight="1" x14ac:dyDescent="0.2">
      <c r="A12" s="579" t="s">
        <v>297</v>
      </c>
      <c r="B12" s="579"/>
      <c r="C12" s="579"/>
      <c r="D12" s="579"/>
      <c r="E12" s="579"/>
      <c r="F12" s="579"/>
      <c r="G12" s="579"/>
      <c r="H12" s="579"/>
      <c r="I12" s="579"/>
      <c r="J12" s="579"/>
      <c r="K12" s="579"/>
      <c r="L12" s="579"/>
      <c r="M12" s="579"/>
      <c r="N12" s="579"/>
      <c r="O12" s="579"/>
    </row>
    <row r="13" spans="1:18" s="243" customFormat="1" ht="73.5" customHeight="1" x14ac:dyDescent="0.2">
      <c r="A13" s="458" t="s">
        <v>347</v>
      </c>
      <c r="B13" s="459"/>
      <c r="C13" s="459"/>
      <c r="D13" s="459"/>
      <c r="E13" s="459"/>
      <c r="F13" s="459"/>
      <c r="G13" s="459"/>
      <c r="H13" s="459"/>
      <c r="I13" s="459"/>
      <c r="J13" s="459"/>
      <c r="K13" s="459"/>
      <c r="L13" s="459"/>
      <c r="M13" s="459"/>
      <c r="N13" s="459"/>
      <c r="O13" s="460"/>
    </row>
    <row r="14" spans="1:18" s="243" customFormat="1" ht="17.25" customHeight="1" x14ac:dyDescent="0.2">
      <c r="A14" s="247"/>
      <c r="B14" s="245"/>
      <c r="C14" s="245"/>
      <c r="D14" s="245"/>
      <c r="E14" s="245"/>
      <c r="F14" s="245"/>
      <c r="G14" s="245"/>
      <c r="H14" s="248"/>
      <c r="I14" s="248"/>
      <c r="J14" s="248"/>
      <c r="K14" s="248"/>
      <c r="L14" s="248"/>
      <c r="M14" s="248"/>
      <c r="N14" s="248"/>
      <c r="O14" s="248"/>
    </row>
    <row r="15" spans="1:18" ht="33.75" customHeight="1" x14ac:dyDescent="0.2">
      <c r="A15" s="549" t="s">
        <v>288</v>
      </c>
      <c r="B15" s="550"/>
      <c r="C15" s="550"/>
      <c r="D15" s="550"/>
      <c r="E15" s="550"/>
      <c r="F15" s="550"/>
      <c r="G15" s="550"/>
      <c r="H15" s="550"/>
      <c r="I15" s="550"/>
      <c r="J15" s="550"/>
      <c r="K15" s="550"/>
      <c r="L15" s="550"/>
      <c r="M15" s="550"/>
      <c r="N15" s="550"/>
      <c r="O15" s="551"/>
    </row>
    <row r="16" spans="1:18" ht="10.5" customHeight="1" x14ac:dyDescent="0.25">
      <c r="C16" s="1"/>
      <c r="D16" s="1"/>
      <c r="E16" s="1"/>
    </row>
    <row r="17" spans="1:16" s="13" customFormat="1" ht="21.75" customHeight="1" x14ac:dyDescent="0.2">
      <c r="A17" s="566" t="s">
        <v>172</v>
      </c>
      <c r="B17" s="567"/>
      <c r="C17" s="567"/>
      <c r="D17" s="567"/>
      <c r="E17" s="567"/>
      <c r="F17" s="567"/>
      <c r="G17" s="567"/>
      <c r="H17" s="567"/>
      <c r="I17" s="567"/>
      <c r="J17" s="567"/>
      <c r="K17" s="567"/>
      <c r="L17" s="567"/>
      <c r="M17" s="567"/>
      <c r="N17" s="567"/>
      <c r="O17" s="567"/>
    </row>
    <row r="18" spans="1:16" s="15" customFormat="1" ht="15" customHeight="1" x14ac:dyDescent="0.2">
      <c r="A18" s="561" t="s">
        <v>48</v>
      </c>
      <c r="B18" s="547" t="s">
        <v>51</v>
      </c>
      <c r="C18" s="548"/>
      <c r="D18" s="547" t="s">
        <v>52</v>
      </c>
      <c r="E18" s="548"/>
      <c r="F18" s="547" t="s">
        <v>53</v>
      </c>
      <c r="G18" s="548"/>
      <c r="H18" s="547" t="s">
        <v>54</v>
      </c>
      <c r="I18" s="548"/>
      <c r="J18" s="547" t="s">
        <v>55</v>
      </c>
      <c r="K18" s="548"/>
      <c r="L18" s="560" t="s">
        <v>24</v>
      </c>
      <c r="M18" s="548"/>
      <c r="N18" s="559" t="s">
        <v>35</v>
      </c>
      <c r="O18" s="479"/>
    </row>
    <row r="19" spans="1:16" s="15" customFormat="1" ht="12" customHeight="1" x14ac:dyDescent="0.2">
      <c r="A19" s="562"/>
      <c r="B19" s="17" t="s">
        <v>21</v>
      </c>
      <c r="C19" s="18" t="s">
        <v>22</v>
      </c>
      <c r="D19" s="17" t="s">
        <v>21</v>
      </c>
      <c r="E19" s="18" t="s">
        <v>22</v>
      </c>
      <c r="F19" s="17" t="s">
        <v>21</v>
      </c>
      <c r="G19" s="18" t="s">
        <v>22</v>
      </c>
      <c r="H19" s="17" t="s">
        <v>21</v>
      </c>
      <c r="I19" s="18" t="s">
        <v>22</v>
      </c>
      <c r="J19" s="17" t="s">
        <v>21</v>
      </c>
      <c r="K19" s="18" t="s">
        <v>22</v>
      </c>
      <c r="L19" s="17" t="s">
        <v>21</v>
      </c>
      <c r="M19" s="18" t="s">
        <v>22</v>
      </c>
      <c r="N19" s="241" t="s">
        <v>21</v>
      </c>
      <c r="O19" s="242" t="s">
        <v>22</v>
      </c>
    </row>
    <row r="20" spans="1:16" s="15" customFormat="1" ht="17.25" customHeight="1" x14ac:dyDescent="0.2">
      <c r="A20" s="19" t="s">
        <v>169</v>
      </c>
      <c r="B20" s="102">
        <v>0</v>
      </c>
      <c r="C20" s="34">
        <f>IF(B20&lt;&gt;"",B20/($B20+$D20+$F20+$H20+$J20),"")</f>
        <v>0</v>
      </c>
      <c r="D20" s="101">
        <v>29</v>
      </c>
      <c r="E20" s="34">
        <f>IF(D20&lt;&gt;"",D20/($B20+$D20+$F20+$H20+$J20),"")</f>
        <v>0.35365853658536583</v>
      </c>
      <c r="F20" s="101">
        <v>38</v>
      </c>
      <c r="G20" s="34">
        <f>IF(F20&lt;&gt;"",F20/($B20+$D20+$F20+$H20+$J20),"")</f>
        <v>0.46341463414634149</v>
      </c>
      <c r="H20" s="101">
        <v>15</v>
      </c>
      <c r="I20" s="34">
        <f>IF(H20&lt;&gt;"",H20/($B20+$D20+$F20+$H20+$J20),"")</f>
        <v>0.18292682926829268</v>
      </c>
      <c r="J20" s="101">
        <v>0</v>
      </c>
      <c r="K20" s="34">
        <f>IF(J20&lt;&gt;"",J20/($B20+$D20+$F20+$H20+$J20),"")</f>
        <v>0</v>
      </c>
      <c r="L20" s="101">
        <v>0</v>
      </c>
      <c r="M20" s="34">
        <f>IF(L20&lt;&gt;"",L20/($B20+$D20+$F20+$H20+$J20+$L20),"")</f>
        <v>0</v>
      </c>
      <c r="N20" s="236">
        <f>IF(OR(B20&lt;&gt;"",D20&lt;&gt;"",F20&lt;&gt;""),B20+D20+F20,"")</f>
        <v>67</v>
      </c>
      <c r="O20" s="34">
        <f t="shared" ref="N20:O24" si="0">IF(OR(C20&lt;&gt;"",E20&lt;&gt;"",G20&lt;&gt;""),C20+E20+G20,"")</f>
        <v>0.81707317073170738</v>
      </c>
      <c r="P20" s="15">
        <v>17</v>
      </c>
    </row>
    <row r="21" spans="1:16" s="15" customFormat="1" ht="17.25" customHeight="1" x14ac:dyDescent="0.2">
      <c r="A21" s="19" t="s">
        <v>60</v>
      </c>
      <c r="B21" s="102">
        <v>4</v>
      </c>
      <c r="C21" s="34">
        <f>IF(B21&lt;&gt;"",B21/($B21+$D21+$F21+$H21+$J21),"")</f>
        <v>2.7210884353741496E-2</v>
      </c>
      <c r="D21" s="101">
        <v>29</v>
      </c>
      <c r="E21" s="34">
        <f>IF(D21&lt;&gt;"",D21/($B21+$D21+$F21+$H21+$J21),"")</f>
        <v>0.19727891156462585</v>
      </c>
      <c r="F21" s="101">
        <v>56</v>
      </c>
      <c r="G21" s="34">
        <f>IF(F21&lt;&gt;"",F21/($B21+$D21+$F21+$H21+$J21),"")</f>
        <v>0.38095238095238093</v>
      </c>
      <c r="H21" s="101">
        <v>58</v>
      </c>
      <c r="I21" s="34">
        <f>IF(H21&lt;&gt;"",H21/($B21+$D21+$F21+$H21+$J21),"")</f>
        <v>0.39455782312925169</v>
      </c>
      <c r="J21" s="101">
        <v>0</v>
      </c>
      <c r="K21" s="34">
        <f>IF(J21&lt;&gt;"",J21/($B21+$D21+$F21+$H21+$J21),"")</f>
        <v>0</v>
      </c>
      <c r="L21" s="101">
        <v>0</v>
      </c>
      <c r="M21" s="34">
        <f>IF(L21&lt;&gt;"",L21/($B21+$D21+$F21+$H21+$J21+$L21),"")</f>
        <v>0</v>
      </c>
      <c r="N21" s="236">
        <f t="shared" si="0"/>
        <v>89</v>
      </c>
      <c r="O21" s="34">
        <f t="shared" si="0"/>
        <v>0.60544217687074831</v>
      </c>
      <c r="P21" s="15">
        <v>18</v>
      </c>
    </row>
    <row r="22" spans="1:16" s="15" customFormat="1" ht="17.25" customHeight="1" x14ac:dyDescent="0.2">
      <c r="A22" s="19" t="s">
        <v>129</v>
      </c>
      <c r="B22" s="102">
        <v>2</v>
      </c>
      <c r="C22" s="34">
        <f>IF(B22&lt;&gt;"",B22/($B22+$D22+$F22+$H22+$J22),"")</f>
        <v>1.3071895424836602E-2</v>
      </c>
      <c r="D22" s="101">
        <v>37</v>
      </c>
      <c r="E22" s="34">
        <f>IF(D22&lt;&gt;"",D22/($B22+$D22+$F22+$H22+$J22),"")</f>
        <v>0.24183006535947713</v>
      </c>
      <c r="F22" s="101">
        <v>79</v>
      </c>
      <c r="G22" s="34">
        <f>IF(F22&lt;&gt;"",F22/($B22+$D22+$F22+$H22+$J22),"")</f>
        <v>0.5163398692810458</v>
      </c>
      <c r="H22" s="101">
        <v>35</v>
      </c>
      <c r="I22" s="34">
        <f>IF(H22&lt;&gt;"",H22/($B22+$D22+$F22+$H22+$J22),"")</f>
        <v>0.22875816993464052</v>
      </c>
      <c r="J22" s="101">
        <v>0</v>
      </c>
      <c r="K22" s="34">
        <f>IF(J22&lt;&gt;"",J22/($B22+$D22+$F22+$H22+$J22),"")</f>
        <v>0</v>
      </c>
      <c r="L22" s="101">
        <v>1</v>
      </c>
      <c r="M22" s="34">
        <f>IF(L22&lt;&gt;"",L22/($B22+$D22+$F22+$H22+$J22+$L22),"")</f>
        <v>6.4935064935064939E-3</v>
      </c>
      <c r="N22" s="236">
        <f t="shared" si="0"/>
        <v>118</v>
      </c>
      <c r="O22" s="34">
        <f t="shared" si="0"/>
        <v>0.77124183006535951</v>
      </c>
      <c r="P22" s="15">
        <v>19</v>
      </c>
    </row>
    <row r="23" spans="1:16" s="15" customFormat="1" ht="17.25" customHeight="1" x14ac:dyDescent="0.2">
      <c r="A23" s="19" t="s">
        <v>164</v>
      </c>
      <c r="B23" s="102">
        <v>2</v>
      </c>
      <c r="C23" s="250">
        <f t="shared" ref="C23:C24" si="1">IF(B23&lt;&gt;"",B23/($B23+$D23+$F23+$H23+$J23),"")</f>
        <v>1.3888888888888888E-2</v>
      </c>
      <c r="D23" s="101">
        <v>33</v>
      </c>
      <c r="E23" s="250">
        <f t="shared" ref="E23:E24" si="2">IF(D23&lt;&gt;"",D23/($B23+$D23+$F23+$H23+$J23),"")</f>
        <v>0.22916666666666666</v>
      </c>
      <c r="F23" s="101">
        <v>78</v>
      </c>
      <c r="G23" s="250">
        <f t="shared" ref="G23:G24" si="3">IF(F23&lt;&gt;"",F23/($B23+$D23+$F23+$H23+$J23),"")</f>
        <v>0.54166666666666663</v>
      </c>
      <c r="H23" s="101">
        <v>31</v>
      </c>
      <c r="I23" s="250">
        <f t="shared" ref="I23:I24" si="4">IF(H23&lt;&gt;"",H23/($B23+$D23+$F23+$H23+$J23),"")</f>
        <v>0.21527777777777779</v>
      </c>
      <c r="J23" s="101">
        <v>0</v>
      </c>
      <c r="K23" s="250">
        <f t="shared" ref="K23:K24" si="5">IF(J23&lt;&gt;"",J23/($B23+$D23+$F23+$H23+$J23),"")</f>
        <v>0</v>
      </c>
      <c r="L23" s="101">
        <v>0</v>
      </c>
      <c r="M23" s="34">
        <f>IF(L23&lt;&gt;"",L23/($B23+$D23+$F23+$H23+$J23+$L23),"")</f>
        <v>0</v>
      </c>
      <c r="N23" s="236">
        <f>IF(OR(B23&lt;&gt;"",D23&lt;&gt;"",F23&lt;&gt;""),B23+D23+F23,"")</f>
        <v>113</v>
      </c>
      <c r="O23" s="34">
        <f>IF(OR(C23&lt;&gt;"",E23&lt;&gt;"",G23&lt;&gt;""),C23+E23+G23,"")</f>
        <v>0.78472222222222221</v>
      </c>
      <c r="P23" s="15">
        <v>20</v>
      </c>
    </row>
    <row r="24" spans="1:16" s="15" customFormat="1" ht="17.25" customHeight="1" x14ac:dyDescent="0.2">
      <c r="A24" s="19" t="s">
        <v>203</v>
      </c>
      <c r="B24" s="384">
        <v>3</v>
      </c>
      <c r="C24" s="34">
        <f t="shared" si="1"/>
        <v>2.2727272727272728E-2</v>
      </c>
      <c r="D24" s="385">
        <v>17</v>
      </c>
      <c r="E24" s="34">
        <f t="shared" si="2"/>
        <v>0.12878787878787878</v>
      </c>
      <c r="F24" s="385">
        <v>66</v>
      </c>
      <c r="G24" s="34">
        <f t="shared" si="3"/>
        <v>0.5</v>
      </c>
      <c r="H24" s="385">
        <v>45</v>
      </c>
      <c r="I24" s="34">
        <f t="shared" si="4"/>
        <v>0.34090909090909088</v>
      </c>
      <c r="J24" s="385">
        <v>1</v>
      </c>
      <c r="K24" s="34">
        <f t="shared" si="5"/>
        <v>7.575757575757576E-3</v>
      </c>
      <c r="L24" s="386">
        <v>0</v>
      </c>
      <c r="M24" s="34">
        <f>IF(L24&lt;&gt;"",L24/($B24+$D24+$F24+$H24+$J24+$L24),"")</f>
        <v>0</v>
      </c>
      <c r="N24" s="236">
        <f t="shared" si="0"/>
        <v>86</v>
      </c>
      <c r="O24" s="34">
        <f>IF(OR(C24&lt;&gt;"",E24&lt;&gt;"",G24&lt;&gt;""),C24+E24+G24,"")</f>
        <v>0.65151515151515149</v>
      </c>
      <c r="P24" s="15">
        <v>21</v>
      </c>
    </row>
    <row r="25" spans="1:16" ht="10.5" customHeight="1" x14ac:dyDescent="0.25">
      <c r="C25" s="1"/>
      <c r="D25" s="1"/>
      <c r="E25" s="1"/>
    </row>
    <row r="26" spans="1:16" s="13" customFormat="1" ht="21.75" customHeight="1" x14ac:dyDescent="0.2">
      <c r="A26" s="566" t="s">
        <v>173</v>
      </c>
      <c r="B26" s="567"/>
      <c r="C26" s="567"/>
      <c r="D26" s="567"/>
      <c r="E26" s="567"/>
      <c r="F26" s="567"/>
      <c r="G26" s="567"/>
      <c r="H26" s="567"/>
      <c r="I26" s="567"/>
      <c r="J26" s="567"/>
      <c r="K26" s="567"/>
      <c r="L26" s="567"/>
      <c r="M26" s="567"/>
      <c r="N26" s="567"/>
      <c r="O26" s="567"/>
    </row>
    <row r="27" spans="1:16" s="15" customFormat="1" ht="15" customHeight="1" x14ac:dyDescent="0.2">
      <c r="A27" s="561" t="s">
        <v>48</v>
      </c>
      <c r="B27" s="547" t="s">
        <v>51</v>
      </c>
      <c r="C27" s="548"/>
      <c r="D27" s="547" t="s">
        <v>52</v>
      </c>
      <c r="E27" s="548"/>
      <c r="F27" s="547" t="s">
        <v>53</v>
      </c>
      <c r="G27" s="548"/>
      <c r="H27" s="547" t="s">
        <v>54</v>
      </c>
      <c r="I27" s="548"/>
      <c r="J27" s="547" t="s">
        <v>55</v>
      </c>
      <c r="K27" s="548"/>
      <c r="L27" s="560" t="s">
        <v>24</v>
      </c>
      <c r="M27" s="548"/>
      <c r="N27" s="559" t="s">
        <v>35</v>
      </c>
      <c r="O27" s="479"/>
    </row>
    <row r="28" spans="1:16" s="15" customFormat="1" ht="12" customHeight="1" x14ac:dyDescent="0.2">
      <c r="A28" s="562"/>
      <c r="B28" s="17" t="s">
        <v>21</v>
      </c>
      <c r="C28" s="18" t="s">
        <v>22</v>
      </c>
      <c r="D28" s="17" t="s">
        <v>21</v>
      </c>
      <c r="E28" s="18" t="s">
        <v>22</v>
      </c>
      <c r="F28" s="17" t="s">
        <v>21</v>
      </c>
      <c r="G28" s="18" t="s">
        <v>22</v>
      </c>
      <c r="H28" s="17" t="s">
        <v>21</v>
      </c>
      <c r="I28" s="18" t="s">
        <v>22</v>
      </c>
      <c r="J28" s="17" t="s">
        <v>21</v>
      </c>
      <c r="K28" s="18" t="s">
        <v>22</v>
      </c>
      <c r="L28" s="17" t="s">
        <v>21</v>
      </c>
      <c r="M28" s="18" t="s">
        <v>22</v>
      </c>
      <c r="N28" s="241" t="s">
        <v>21</v>
      </c>
      <c r="O28" s="242" t="s">
        <v>22</v>
      </c>
    </row>
    <row r="29" spans="1:16" s="15" customFormat="1" ht="17.25" customHeight="1" x14ac:dyDescent="0.2">
      <c r="A29" s="19" t="s">
        <v>169</v>
      </c>
      <c r="B29" s="102">
        <v>16</v>
      </c>
      <c r="C29" s="34">
        <f>IF(B29&lt;&gt;"",B29/($B29+$D29+$F29+$H29+$J29),"")</f>
        <v>0.1951219512195122</v>
      </c>
      <c r="D29" s="101">
        <v>25</v>
      </c>
      <c r="E29" s="34">
        <f>IF(D29&lt;&gt;"",D29/($B29+$D29+$F29+$H29+$J29),"")</f>
        <v>0.3048780487804878</v>
      </c>
      <c r="F29" s="101">
        <v>20</v>
      </c>
      <c r="G29" s="34">
        <f>IF(F29&lt;&gt;"",F29/($B29+$D29+$F29+$H29+$J29),"")</f>
        <v>0.24390243902439024</v>
      </c>
      <c r="H29" s="101">
        <v>19</v>
      </c>
      <c r="I29" s="34">
        <f>IF(H29&lt;&gt;"",H29/($B29+$D29+$F29+$H29+$J29),"")</f>
        <v>0.23170731707317074</v>
      </c>
      <c r="J29" s="101">
        <v>2</v>
      </c>
      <c r="K29" s="34">
        <f>IF(J29&lt;&gt;"",J29/($B29+$D29+$F29+$H29+$J29),"")</f>
        <v>2.4390243902439025E-2</v>
      </c>
      <c r="L29" s="101">
        <v>0</v>
      </c>
      <c r="M29" s="34">
        <f>IF(L29&lt;&gt;"",L29/($B29+$D29+$F29+$H29+$J29+$L29),"")</f>
        <v>0</v>
      </c>
      <c r="N29" s="236">
        <f>IF(OR(B29&lt;&gt;"",D29&lt;&gt;"",F29&lt;&gt;""),B29+D29+F29,"")</f>
        <v>61</v>
      </c>
      <c r="O29" s="34">
        <f>IF(OR(C29&lt;&gt;"",E29&lt;&gt;"",G29&lt;&gt;""),C29+E29+G29,"")</f>
        <v>0.74390243902439024</v>
      </c>
      <c r="P29" s="15">
        <v>22</v>
      </c>
    </row>
    <row r="30" spans="1:16" s="15" customFormat="1" ht="17.25" customHeight="1" x14ac:dyDescent="0.2">
      <c r="A30" s="19" t="s">
        <v>60</v>
      </c>
      <c r="B30" s="102">
        <v>8</v>
      </c>
      <c r="C30" s="34">
        <f>IF(B30&lt;&gt;"",B30/($B30+$D30+$F30+$H30+$J30),"")</f>
        <v>5.4421768707482991E-2</v>
      </c>
      <c r="D30" s="101">
        <v>16</v>
      </c>
      <c r="E30" s="34">
        <f>IF(D30&lt;&gt;"",D30/($B30+$D30+$F30+$H30+$J30),"")</f>
        <v>0.10884353741496598</v>
      </c>
      <c r="F30" s="101">
        <v>29</v>
      </c>
      <c r="G30" s="34">
        <f>IF(F30&lt;&gt;"",F30/($B30+$D30+$F30+$H30+$J30),"")</f>
        <v>0.19727891156462585</v>
      </c>
      <c r="H30" s="101">
        <v>67</v>
      </c>
      <c r="I30" s="34">
        <f>IF(H30&lt;&gt;"",H30/($B30+$D30+$F30+$H30+$J30),"")</f>
        <v>0.45578231292517007</v>
      </c>
      <c r="J30" s="101">
        <v>27</v>
      </c>
      <c r="K30" s="34">
        <f>IF(J30&lt;&gt;"",J30/($B30+$D30+$F30+$H30+$J30),"")</f>
        <v>0.18367346938775511</v>
      </c>
      <c r="L30" s="101">
        <v>0</v>
      </c>
      <c r="M30" s="34">
        <f>IF(L30&lt;&gt;"",L30/($B30+$D30+$F30+$H30+$J30+$L30),"")</f>
        <v>0</v>
      </c>
      <c r="N30" s="236">
        <f>IF(OR(B30&lt;&gt;"",D30&lt;&gt;"",F30&lt;&gt;""),B30+D30+F30,"")</f>
        <v>53</v>
      </c>
      <c r="O30" s="34">
        <f>IF(OR(C30&lt;&gt;"",E30&lt;&gt;"",G30&lt;&gt;""),C30+E30+G30,"")</f>
        <v>0.36054421768707479</v>
      </c>
      <c r="P30" s="15">
        <v>23</v>
      </c>
    </row>
    <row r="31" spans="1:16" s="15" customFormat="1" ht="17.25" customHeight="1" x14ac:dyDescent="0.2">
      <c r="A31" s="19" t="s">
        <v>129</v>
      </c>
      <c r="B31" s="102">
        <v>4</v>
      </c>
      <c r="C31" s="34">
        <f>IF(B31&lt;&gt;"",B31/($B31+$D31+$F31+$H31+$J31),"")</f>
        <v>2.6143790849673203E-2</v>
      </c>
      <c r="D31" s="101">
        <v>24</v>
      </c>
      <c r="E31" s="34">
        <f>IF(D31&lt;&gt;"",D31/($B31+$D31+$F31+$H31+$J31),"")</f>
        <v>0.15686274509803921</v>
      </c>
      <c r="F31" s="101">
        <v>45</v>
      </c>
      <c r="G31" s="34">
        <f>IF(F31&lt;&gt;"",F31/($B31+$D31+$F31+$H31+$J31),"")</f>
        <v>0.29411764705882354</v>
      </c>
      <c r="H31" s="101">
        <v>71</v>
      </c>
      <c r="I31" s="34">
        <f>IF(H31&lt;&gt;"",H31/($B31+$D31+$F31+$H31+$J31),"")</f>
        <v>0.46405228758169936</v>
      </c>
      <c r="J31" s="101">
        <v>9</v>
      </c>
      <c r="K31" s="34">
        <f>IF(J31&lt;&gt;"",J31/($B31+$D31+$F31+$H31+$J31),"")</f>
        <v>5.8823529411764705E-2</v>
      </c>
      <c r="L31" s="101">
        <v>1</v>
      </c>
      <c r="M31" s="34">
        <f>IF(L31&lt;&gt;"",L31/($B31+$D31+$F31+$H31+$J31+$L31),"")</f>
        <v>6.4935064935064939E-3</v>
      </c>
      <c r="N31" s="236">
        <f>IF(OR(B31&lt;&gt;"",D31&lt;&gt;"",F31&lt;&gt;""),B31+D31+F31,"")</f>
        <v>73</v>
      </c>
      <c r="O31" s="34">
        <f>IF(OR(C31&lt;&gt;"",E31&lt;&gt;"",G31&lt;&gt;""),IF(C31&lt;&gt;"",C31,0)+IF(E31&lt;&gt;"",E31,0)+IF(G31&lt;&gt;"",G31,0),"")</f>
        <v>0.47712418300653592</v>
      </c>
      <c r="P31" s="15">
        <v>24</v>
      </c>
    </row>
    <row r="32" spans="1:16" s="15" customFormat="1" ht="17.25" customHeight="1" x14ac:dyDescent="0.2">
      <c r="A32" s="19" t="s">
        <v>164</v>
      </c>
      <c r="B32" s="102">
        <v>6</v>
      </c>
      <c r="C32" s="250">
        <f>IF(B32&lt;&gt;"",B32/($B32+$D32+$F32+$H32+$J32),"")</f>
        <v>4.1666666666666664E-2</v>
      </c>
      <c r="D32" s="101">
        <v>29</v>
      </c>
      <c r="E32" s="250">
        <f>IF(D32&lt;&gt;"",D32/($B32+$D32+$F32+$H32+$J32),"")</f>
        <v>0.2013888888888889</v>
      </c>
      <c r="F32" s="101">
        <v>29</v>
      </c>
      <c r="G32" s="250">
        <f>IF(F32&lt;&gt;"",F32/($B32+$D32+$F32+$H32+$J32),"")</f>
        <v>0.2013888888888889</v>
      </c>
      <c r="H32" s="101">
        <v>56</v>
      </c>
      <c r="I32" s="250">
        <f>IF(H32&lt;&gt;"",H32/($B32+$D32+$F32+$H32+$J32),"")</f>
        <v>0.3888888888888889</v>
      </c>
      <c r="J32" s="101">
        <v>24</v>
      </c>
      <c r="K32" s="250">
        <f>IF(J32&lt;&gt;"",J32/($B32+$D32+$F32+$H32+$J32),"")</f>
        <v>0.16666666666666666</v>
      </c>
      <c r="L32" s="101">
        <v>0</v>
      </c>
      <c r="M32" s="250">
        <f>IF(L32&lt;&gt;"",L32/($B32+$D32+$F32+$H32+$J32+$L32),"")</f>
        <v>0</v>
      </c>
      <c r="N32" s="365">
        <f>IF(OR(B32&lt;&gt;"",D32&lt;&gt;"",F32&lt;&gt;""),B32+D32+F32,"")</f>
        <v>64</v>
      </c>
      <c r="O32" s="34">
        <f>IF(OR(C32&lt;&gt;"",E32&lt;&gt;"",G32&lt;&gt;""),IF(C32&lt;&gt;"",C32,0)+IF(E32&lt;&gt;"",E32,0)+IF(G32&lt;&gt;"",G32,0),"")</f>
        <v>0.44444444444444442</v>
      </c>
      <c r="P32" s="15">
        <v>25</v>
      </c>
    </row>
    <row r="33" spans="1:27" s="15" customFormat="1" ht="17.25" customHeight="1" x14ac:dyDescent="0.2">
      <c r="A33" s="19" t="s">
        <v>203</v>
      </c>
      <c r="B33" s="384">
        <v>10</v>
      </c>
      <c r="C33" s="34">
        <f>IF(B33&lt;&gt;"",B33/($B33+$D33+$F33+$H33+$J33),"")</f>
        <v>7.575757575757576E-2</v>
      </c>
      <c r="D33" s="385">
        <v>32</v>
      </c>
      <c r="E33" s="34">
        <f>IF(D33&lt;&gt;"",D33/($B33+$D33+$F33+$H33+$J33),"")</f>
        <v>0.24242424242424243</v>
      </c>
      <c r="F33" s="385">
        <v>33</v>
      </c>
      <c r="G33" s="34">
        <f>IF(F33&lt;&gt;"",F33/($B33+$D33+$F33+$H33+$J33),"")</f>
        <v>0.25</v>
      </c>
      <c r="H33" s="385">
        <v>36</v>
      </c>
      <c r="I33" s="34">
        <f>IF(H33&lt;&gt;"",H33/($B33+$D33+$F33+$H33+$J33),"")</f>
        <v>0.27272727272727271</v>
      </c>
      <c r="J33" s="385">
        <v>21</v>
      </c>
      <c r="K33" s="34">
        <f>IF(J33&lt;&gt;"",J33/($B33+$D33+$F33+$H33+$J33),"")</f>
        <v>0.15909090909090909</v>
      </c>
      <c r="L33" s="386">
        <v>0</v>
      </c>
      <c r="M33" s="34">
        <f>IF(L33&lt;&gt;"",L33/($B33+$D33+$F33+$H33+$J33+$L33),"")</f>
        <v>0</v>
      </c>
      <c r="N33" s="34"/>
      <c r="O33" s="34">
        <f>IF(OR(C33&lt;&gt;"",E33&lt;&gt;"",G33&lt;&gt;""),C33+E33+G33,"")</f>
        <v>0.56818181818181812</v>
      </c>
      <c r="P33" s="15">
        <v>26</v>
      </c>
    </row>
    <row r="34" spans="1:27" hidden="1" x14ac:dyDescent="0.2">
      <c r="A34" s="107"/>
      <c r="W34" s="15"/>
      <c r="X34" s="15"/>
      <c r="Y34" s="15"/>
      <c r="Z34" s="15"/>
      <c r="AA34" s="15"/>
    </row>
    <row r="35" spans="1:27" s="14" customFormat="1" ht="18" customHeight="1" x14ac:dyDescent="0.2">
      <c r="A35" s="6" t="s">
        <v>217</v>
      </c>
      <c r="W35" s="15"/>
      <c r="X35" s="15"/>
      <c r="Y35" s="15"/>
      <c r="Z35" s="15"/>
      <c r="AA35" s="15"/>
    </row>
    <row r="36" spans="1:27" ht="73.5" customHeight="1" x14ac:dyDescent="0.2">
      <c r="A36" s="458" t="s">
        <v>356</v>
      </c>
      <c r="B36" s="459"/>
      <c r="C36" s="459"/>
      <c r="D36" s="459"/>
      <c r="E36" s="459"/>
      <c r="F36" s="459"/>
      <c r="G36" s="459"/>
      <c r="H36" s="459"/>
      <c r="I36" s="459"/>
      <c r="J36" s="459"/>
      <c r="K36" s="459"/>
      <c r="L36" s="459"/>
      <c r="M36" s="459"/>
      <c r="N36" s="459"/>
      <c r="O36" s="460"/>
    </row>
    <row r="37" spans="1:27" ht="10.5" customHeight="1" x14ac:dyDescent="0.2">
      <c r="A37" s="82"/>
      <c r="B37" s="83"/>
      <c r="C37" s="83"/>
      <c r="D37" s="83"/>
      <c r="E37" s="83"/>
      <c r="F37" s="83"/>
      <c r="G37" s="83"/>
      <c r="H37" s="3"/>
      <c r="I37" s="3"/>
      <c r="J37" s="3"/>
      <c r="K37" s="3"/>
      <c r="L37" s="3"/>
      <c r="M37" s="3"/>
      <c r="N37" s="3"/>
      <c r="O37" s="3"/>
    </row>
    <row r="38" spans="1:27" ht="33.75" customHeight="1" x14ac:dyDescent="0.2">
      <c r="A38" s="549" t="s">
        <v>289</v>
      </c>
      <c r="B38" s="550"/>
      <c r="C38" s="550"/>
      <c r="D38" s="550"/>
      <c r="E38" s="550"/>
      <c r="F38" s="550"/>
      <c r="G38" s="550"/>
      <c r="H38" s="550"/>
      <c r="I38" s="550"/>
      <c r="J38" s="550"/>
      <c r="K38" s="550"/>
      <c r="L38" s="550"/>
      <c r="M38" s="550"/>
      <c r="N38" s="550"/>
      <c r="O38" s="551"/>
    </row>
    <row r="39" spans="1:27" ht="10.5" customHeight="1" x14ac:dyDescent="0.25">
      <c r="C39" s="1"/>
      <c r="D39" s="1"/>
      <c r="E39" s="1"/>
    </row>
    <row r="40" spans="1:27" s="70" customFormat="1" ht="46.5" customHeight="1" x14ac:dyDescent="0.2">
      <c r="C40" s="545" t="s">
        <v>37</v>
      </c>
      <c r="D40" s="545"/>
      <c r="E40" s="545"/>
      <c r="F40" s="563" t="s">
        <v>174</v>
      </c>
      <c r="G40" s="564"/>
      <c r="H40" s="564"/>
      <c r="I40" s="565"/>
      <c r="J40" s="563" t="s">
        <v>175</v>
      </c>
      <c r="K40" s="564"/>
      <c r="L40" s="564"/>
      <c r="M40" s="565"/>
      <c r="N40" s="238"/>
    </row>
    <row r="41" spans="1:27" s="84" customFormat="1" ht="23.25" customHeight="1" x14ac:dyDescent="0.2">
      <c r="C41" s="552" t="s">
        <v>48</v>
      </c>
      <c r="D41" s="553"/>
      <c r="E41" s="554"/>
      <c r="F41" s="552" t="s">
        <v>131</v>
      </c>
      <c r="G41" s="558"/>
      <c r="H41" s="552" t="s">
        <v>132</v>
      </c>
      <c r="I41" s="558"/>
      <c r="J41" s="552" t="s">
        <v>131</v>
      </c>
      <c r="K41" s="558"/>
      <c r="L41" s="552" t="s">
        <v>132</v>
      </c>
      <c r="M41" s="558"/>
      <c r="N41" s="238"/>
    </row>
    <row r="42" spans="1:27" s="84" customFormat="1" ht="13.5" customHeight="1" x14ac:dyDescent="0.2">
      <c r="C42" s="555"/>
      <c r="D42" s="556"/>
      <c r="E42" s="557"/>
      <c r="F42" s="103" t="s">
        <v>21</v>
      </c>
      <c r="G42" s="85" t="s">
        <v>22</v>
      </c>
      <c r="H42" s="103" t="s">
        <v>21</v>
      </c>
      <c r="I42" s="85" t="s">
        <v>22</v>
      </c>
      <c r="J42" s="103" t="s">
        <v>21</v>
      </c>
      <c r="K42" s="85" t="s">
        <v>22</v>
      </c>
      <c r="L42" s="103" t="s">
        <v>21</v>
      </c>
      <c r="M42" s="85" t="s">
        <v>22</v>
      </c>
      <c r="N42" s="239"/>
    </row>
    <row r="43" spans="1:27" s="84" customFormat="1" ht="15.75" customHeight="1" x14ac:dyDescent="0.2">
      <c r="C43" s="545" t="s">
        <v>168</v>
      </c>
      <c r="D43" s="545"/>
      <c r="E43" s="546"/>
      <c r="F43" s="380" t="s">
        <v>118</v>
      </c>
      <c r="G43" s="381">
        <v>23.75</v>
      </c>
      <c r="H43" s="380" t="s">
        <v>118</v>
      </c>
      <c r="I43" s="381">
        <v>76.25</v>
      </c>
      <c r="J43" s="380" t="s">
        <v>118</v>
      </c>
      <c r="K43" s="381">
        <v>23.91</v>
      </c>
      <c r="L43" s="380" t="s">
        <v>118</v>
      </c>
      <c r="M43" s="382">
        <v>76.09</v>
      </c>
      <c r="N43" s="239"/>
      <c r="O43" s="86"/>
      <c r="P43" s="84">
        <v>1</v>
      </c>
      <c r="Q43" s="84">
        <v>6</v>
      </c>
    </row>
    <row r="44" spans="1:27" s="84" customFormat="1" ht="15.75" customHeight="1" x14ac:dyDescent="0.2">
      <c r="C44" s="545" t="s">
        <v>59</v>
      </c>
      <c r="D44" s="545"/>
      <c r="E44" s="546"/>
      <c r="F44" s="380" t="s">
        <v>118</v>
      </c>
      <c r="G44" s="381">
        <v>44.44</v>
      </c>
      <c r="H44" s="380" t="s">
        <v>118</v>
      </c>
      <c r="I44" s="381">
        <v>55.56</v>
      </c>
      <c r="J44" s="380" t="s">
        <v>118</v>
      </c>
      <c r="K44" s="381">
        <v>69.7</v>
      </c>
      <c r="L44" s="380" t="s">
        <v>118</v>
      </c>
      <c r="M44" s="382">
        <v>30.3</v>
      </c>
      <c r="N44" s="239"/>
      <c r="O44" s="86"/>
      <c r="P44" s="84">
        <v>2</v>
      </c>
      <c r="Q44" s="84">
        <v>7</v>
      </c>
    </row>
    <row r="45" spans="1:27" s="84" customFormat="1" ht="15.75" customHeight="1" x14ac:dyDescent="0.2">
      <c r="C45" s="545" t="s">
        <v>125</v>
      </c>
      <c r="D45" s="545"/>
      <c r="E45" s="546"/>
      <c r="F45" s="380">
        <v>6</v>
      </c>
      <c r="G45" s="235">
        <f>IF(AND(COUNT(F45,H45)&gt;0,OR(H45&lt;&gt;"",F45&lt;&gt;"")),ROUND(F45*100/(F45+H45),1),"")</f>
        <v>17.600000000000001</v>
      </c>
      <c r="H45" s="380">
        <v>28</v>
      </c>
      <c r="I45" s="235">
        <f>IF(AND(COUNT(F45,H45)&gt;0,OR(H45&lt;&gt;"",F45&lt;&gt;"")),ROUND(H45*100/(F45+H45),1),"")</f>
        <v>82.4</v>
      </c>
      <c r="J45" s="380">
        <v>34</v>
      </c>
      <c r="K45" s="235">
        <f>IF(AND(COUNT(J45,L45)&gt;0,OR(L45&lt;&gt;"",J45&lt;&gt;"")),ROUND(J45*100/(J45+L45),1),"")</f>
        <v>89.5</v>
      </c>
      <c r="L45" s="380">
        <v>4</v>
      </c>
      <c r="M45" s="235">
        <f>IF(AND(COUNT(J45,L45)&gt;0,OR(L45&lt;&gt;"",J45&lt;&gt;"")),ROUND(L45*100/(J45+L45),1),"")</f>
        <v>10.5</v>
      </c>
      <c r="N45" s="237"/>
      <c r="O45" s="86"/>
      <c r="P45" s="84">
        <v>3</v>
      </c>
      <c r="Q45" s="84">
        <v>8</v>
      </c>
    </row>
    <row r="46" spans="1:27" s="84" customFormat="1" ht="15.75" customHeight="1" x14ac:dyDescent="0.2">
      <c r="C46" s="545" t="s">
        <v>163</v>
      </c>
      <c r="D46" s="545"/>
      <c r="E46" s="546"/>
      <c r="F46" s="380">
        <v>10</v>
      </c>
      <c r="G46" s="235">
        <f>IF(AND(COUNT(F46,H46)&gt;0,OR(H46&lt;&gt;"",F46&lt;&gt;"")),ROUND(F46*100/(F46+H46),1),"")</f>
        <v>30.3</v>
      </c>
      <c r="H46" s="380">
        <v>23</v>
      </c>
      <c r="I46" s="235">
        <f>IF(AND(COUNT(F46,H46)&gt;0,OR(H46&lt;&gt;"",F46&lt;&gt;"")),ROUND(H46*100/(F46+H46),1),"")</f>
        <v>69.7</v>
      </c>
      <c r="J46" s="380">
        <v>12</v>
      </c>
      <c r="K46" s="235">
        <f>IF(AND(COUNT(J46,L46)&gt;0,OR(L46&lt;&gt;"",J46&lt;&gt;"")),ROUND(J46*100/(J46+L46),1),"")</f>
        <v>42.9</v>
      </c>
      <c r="L46" s="380">
        <v>16</v>
      </c>
      <c r="M46" s="235">
        <f>IF(AND(COUNT(J46,L46)&gt;0,OR(L46&lt;&gt;"",J46&lt;&gt;"")),ROUND(L46*100/(J46+L46),1),"")</f>
        <v>57.1</v>
      </c>
      <c r="N46" s="237"/>
      <c r="O46" s="86"/>
      <c r="P46" s="84">
        <v>4</v>
      </c>
      <c r="Q46" s="84">
        <v>9</v>
      </c>
    </row>
    <row r="47" spans="1:27" s="84" customFormat="1" ht="15.75" customHeight="1" x14ac:dyDescent="0.2">
      <c r="C47" s="545" t="s">
        <v>201</v>
      </c>
      <c r="D47" s="545"/>
      <c r="E47" s="545"/>
      <c r="F47" s="383">
        <v>4</v>
      </c>
      <c r="G47" s="235">
        <f>IF(AND(COUNT(F47,H47)&gt;0,OR(H47&lt;&gt;"",F47&lt;&gt;"")),ROUND(F47*100/(F47+H47),1),"")</f>
        <v>25</v>
      </c>
      <c r="H47" s="383">
        <v>12</v>
      </c>
      <c r="I47" s="235">
        <f>IF(AND(COUNT(F47,H47)&gt;0,OR(H47&lt;&gt;"",F47&lt;&gt;"")),ROUND(H47*100/(F47+H47),1),"")</f>
        <v>75</v>
      </c>
      <c r="J47" s="383">
        <v>8</v>
      </c>
      <c r="K47" s="235">
        <f>IF(AND(COUNT(J47,L47)&gt;0,OR(L47&lt;&gt;"",J47&lt;&gt;"")),ROUND(J47*100/(J47+L47),1),"")</f>
        <v>50</v>
      </c>
      <c r="L47" s="383">
        <v>8</v>
      </c>
      <c r="M47" s="235">
        <f>IF(AND(COUNT(J47,L47)&gt;0,OR(L47&lt;&gt;"",J47&lt;&gt;"")),ROUND(L47*100/(J47+L47),1),"")</f>
        <v>50</v>
      </c>
      <c r="N47" s="237"/>
      <c r="O47" s="86"/>
      <c r="P47" s="84">
        <v>5</v>
      </c>
      <c r="Q47" s="84">
        <v>10</v>
      </c>
    </row>
    <row r="48" spans="1:27" s="87" customFormat="1" ht="10.5" customHeight="1" x14ac:dyDescent="0.25">
      <c r="D48" s="88"/>
      <c r="E48" s="88"/>
      <c r="F48" s="88"/>
      <c r="N48" s="240"/>
      <c r="O48" s="86"/>
      <c r="R48" s="84"/>
    </row>
    <row r="49" spans="1:18" s="87" customFormat="1" ht="10.5" customHeight="1" x14ac:dyDescent="0.25">
      <c r="D49" s="88"/>
      <c r="E49" s="88"/>
      <c r="F49" s="88"/>
      <c r="N49" s="240"/>
      <c r="O49" s="86"/>
      <c r="R49" s="84"/>
    </row>
    <row r="50" spans="1:18" s="70" customFormat="1" ht="46.5" customHeight="1" x14ac:dyDescent="0.2">
      <c r="C50" s="545" t="s">
        <v>37</v>
      </c>
      <c r="D50" s="545"/>
      <c r="E50" s="545"/>
      <c r="F50" s="563" t="s">
        <v>176</v>
      </c>
      <c r="G50" s="564"/>
      <c r="H50" s="564"/>
      <c r="I50" s="565"/>
      <c r="J50" s="563" t="s">
        <v>177</v>
      </c>
      <c r="K50" s="564"/>
      <c r="L50" s="564"/>
      <c r="M50" s="565"/>
      <c r="N50" s="238"/>
      <c r="O50" s="86"/>
      <c r="R50" s="84"/>
    </row>
    <row r="51" spans="1:18" s="84" customFormat="1" ht="23.25" customHeight="1" x14ac:dyDescent="0.2">
      <c r="C51" s="552" t="s">
        <v>48</v>
      </c>
      <c r="D51" s="553"/>
      <c r="E51" s="554"/>
      <c r="F51" s="552" t="s">
        <v>131</v>
      </c>
      <c r="G51" s="558"/>
      <c r="H51" s="552" t="s">
        <v>132</v>
      </c>
      <c r="I51" s="558"/>
      <c r="J51" s="552" t="s">
        <v>131</v>
      </c>
      <c r="K51" s="558"/>
      <c r="L51" s="552" t="s">
        <v>132</v>
      </c>
      <c r="M51" s="558"/>
      <c r="N51" s="238"/>
      <c r="O51" s="86"/>
    </row>
    <row r="52" spans="1:18" s="84" customFormat="1" ht="13.5" customHeight="1" x14ac:dyDescent="0.2">
      <c r="C52" s="555"/>
      <c r="D52" s="556"/>
      <c r="E52" s="557"/>
      <c r="F52" s="103" t="s">
        <v>21</v>
      </c>
      <c r="G52" s="85" t="s">
        <v>22</v>
      </c>
      <c r="H52" s="103" t="s">
        <v>21</v>
      </c>
      <c r="I52" s="85" t="s">
        <v>22</v>
      </c>
      <c r="J52" s="103" t="s">
        <v>21</v>
      </c>
      <c r="K52" s="85" t="s">
        <v>22</v>
      </c>
      <c r="L52" s="103" t="s">
        <v>21</v>
      </c>
      <c r="M52" s="85" t="s">
        <v>22</v>
      </c>
      <c r="N52" s="239"/>
      <c r="O52" s="86"/>
    </row>
    <row r="53" spans="1:18" s="84" customFormat="1" ht="15.75" customHeight="1" x14ac:dyDescent="0.2">
      <c r="C53" s="545" t="s">
        <v>168</v>
      </c>
      <c r="D53" s="545"/>
      <c r="E53" s="546"/>
      <c r="F53" s="380" t="s">
        <v>118</v>
      </c>
      <c r="G53" s="381">
        <v>14.29</v>
      </c>
      <c r="H53" s="380" t="s">
        <v>118</v>
      </c>
      <c r="I53" s="381">
        <v>85.71</v>
      </c>
      <c r="J53" s="380" t="s">
        <v>118</v>
      </c>
      <c r="K53" s="381" t="s">
        <v>118</v>
      </c>
      <c r="L53" s="380" t="s">
        <v>118</v>
      </c>
      <c r="M53" s="382" t="s">
        <v>118</v>
      </c>
      <c r="N53" s="239"/>
      <c r="O53" s="86"/>
      <c r="P53" s="84">
        <v>11</v>
      </c>
      <c r="Q53" s="84">
        <v>16</v>
      </c>
    </row>
    <row r="54" spans="1:18" s="84" customFormat="1" ht="15.75" customHeight="1" x14ac:dyDescent="0.2">
      <c r="C54" s="545" t="s">
        <v>59</v>
      </c>
      <c r="D54" s="545"/>
      <c r="E54" s="546"/>
      <c r="F54" s="380" t="s">
        <v>118</v>
      </c>
      <c r="G54" s="381">
        <v>40</v>
      </c>
      <c r="H54" s="380" t="s">
        <v>118</v>
      </c>
      <c r="I54" s="381">
        <v>60</v>
      </c>
      <c r="J54" s="380" t="s">
        <v>118</v>
      </c>
      <c r="K54" s="381" t="s">
        <v>118</v>
      </c>
      <c r="L54" s="380" t="s">
        <v>118</v>
      </c>
      <c r="M54" s="382" t="s">
        <v>118</v>
      </c>
      <c r="N54" s="239"/>
      <c r="O54" s="86"/>
      <c r="P54" s="84">
        <v>12</v>
      </c>
      <c r="Q54" s="84">
        <v>17</v>
      </c>
    </row>
    <row r="55" spans="1:18" s="84" customFormat="1" ht="15.75" customHeight="1" x14ac:dyDescent="0.2">
      <c r="C55" s="545" t="s">
        <v>125</v>
      </c>
      <c r="D55" s="545"/>
      <c r="E55" s="546"/>
      <c r="F55" s="380" t="s">
        <v>118</v>
      </c>
      <c r="G55" s="235" t="str">
        <f>IF(AND(COUNT(F55,H55)&gt;0,OR(H55&lt;&gt;"",F55&lt;&gt;"")),ROUND(F55*100/(F55+H55),1),"")</f>
        <v/>
      </c>
      <c r="H55" s="380" t="s">
        <v>118</v>
      </c>
      <c r="I55" s="235" t="str">
        <f>IF(AND(COUNT(F55,H55)&gt;0,OR(H55&lt;&gt;"",F55&lt;&gt;"")),ROUND(H55*100/(F55+H55),1),"")</f>
        <v/>
      </c>
      <c r="J55" s="380" t="s">
        <v>118</v>
      </c>
      <c r="K55" s="235" t="str">
        <f>IF(AND(COUNT(J55,L55)&gt;0,OR(L55&lt;&gt;"",J55&lt;&gt;"")),ROUND(J55*100/(J55+L55),1),"")</f>
        <v/>
      </c>
      <c r="L55" s="380" t="s">
        <v>118</v>
      </c>
      <c r="M55" s="235" t="str">
        <f>IF(AND(COUNT(J55,L55)&gt;0,OR(L55&lt;&gt;"",J55&lt;&gt;"")),ROUND(L55*100/(J55+L55),1),"")</f>
        <v/>
      </c>
      <c r="N55" s="237"/>
      <c r="O55" s="86"/>
      <c r="P55" s="84">
        <v>13</v>
      </c>
      <c r="Q55" s="84">
        <v>18</v>
      </c>
    </row>
    <row r="56" spans="1:18" s="84" customFormat="1" ht="15.75" customHeight="1" x14ac:dyDescent="0.2">
      <c r="C56" s="545" t="s">
        <v>163</v>
      </c>
      <c r="D56" s="545"/>
      <c r="E56" s="546"/>
      <c r="F56" s="380" t="s">
        <v>118</v>
      </c>
      <c r="G56" s="235" t="str">
        <f>IF(AND(COUNT(F56,H56)&gt;0,OR(H56&lt;&gt;"",F56&lt;&gt;"")),ROUND(F56*100/(F56+H56),1),"")</f>
        <v/>
      </c>
      <c r="H56" s="380" t="s">
        <v>118</v>
      </c>
      <c r="I56" s="235" t="str">
        <f>IF(AND(COUNT(F56,H56)&gt;0,OR(H56&lt;&gt;"",F56&lt;&gt;"")),ROUND(H56*100/(F56+H56),1),"")</f>
        <v/>
      </c>
      <c r="J56" s="380" t="s">
        <v>118</v>
      </c>
      <c r="K56" s="235" t="str">
        <f>IF(AND(COUNT(J56,L56)&gt;0,OR(L56&lt;&gt;"",J56&lt;&gt;"")),ROUND(J56*100/(J56+L56),1),"")</f>
        <v/>
      </c>
      <c r="L56" s="380" t="s">
        <v>118</v>
      </c>
      <c r="M56" s="235" t="str">
        <f>IF(AND(COUNT(J56,L56)&gt;0,OR(L56&lt;&gt;"",J56&lt;&gt;"")),ROUND(L56*100/(J56+L56),1),"")</f>
        <v/>
      </c>
      <c r="N56" s="237"/>
      <c r="O56" s="86"/>
      <c r="P56" s="84">
        <v>14</v>
      </c>
      <c r="Q56" s="84">
        <v>19</v>
      </c>
    </row>
    <row r="57" spans="1:18" s="84" customFormat="1" ht="15.75" customHeight="1" x14ac:dyDescent="0.2">
      <c r="C57" s="545" t="s">
        <v>201</v>
      </c>
      <c r="D57" s="545"/>
      <c r="E57" s="546"/>
      <c r="F57" s="383" t="s">
        <v>118</v>
      </c>
      <c r="G57" s="235" t="str">
        <f>IF(AND(COUNT(F57,H57)&gt;0,OR(H57&lt;&gt;"",F57&lt;&gt;"")),ROUND(F57*100/(F57+H57),1),"")</f>
        <v/>
      </c>
      <c r="H57" s="383" t="s">
        <v>118</v>
      </c>
      <c r="I57" s="235" t="str">
        <f>IF(AND(COUNT(F57,H57)&gt;0,OR(H57&lt;&gt;"",F57&lt;&gt;"")),ROUND(H57*100/(F57+H57),1),"")</f>
        <v/>
      </c>
      <c r="J57" s="383" t="s">
        <v>118</v>
      </c>
      <c r="K57" s="235" t="str">
        <f>IF(AND(COUNT(J57,L57)&gt;0,OR(L57&lt;&gt;"",J57&lt;&gt;"")),ROUND(J57*100/(J57+L57),1),"")</f>
        <v/>
      </c>
      <c r="L57" s="383" t="s">
        <v>118</v>
      </c>
      <c r="M57" s="235" t="str">
        <f>IF(AND(COUNT(J57,L57)&gt;0,OR(L57&lt;&gt;"",J57&lt;&gt;"")),ROUND(L57*100/(J57+L57),1),"")</f>
        <v/>
      </c>
      <c r="N57" s="237"/>
      <c r="O57" s="86"/>
      <c r="P57" s="84">
        <v>15</v>
      </c>
      <c r="Q57" s="84">
        <v>20</v>
      </c>
    </row>
    <row r="58" spans="1:18" ht="12.75" customHeight="1" x14ac:dyDescent="0.25">
      <c r="A58" s="111"/>
      <c r="C58" s="1"/>
      <c r="D58" s="1"/>
      <c r="E58" s="1"/>
      <c r="R58" s="84"/>
    </row>
    <row r="59" spans="1:18" s="14" customFormat="1" ht="18" customHeight="1" x14ac:dyDescent="0.2">
      <c r="A59" s="6" t="s">
        <v>217</v>
      </c>
    </row>
    <row r="60" spans="1:18" ht="73.5" customHeight="1" x14ac:dyDescent="0.2">
      <c r="A60" s="458" t="s">
        <v>380</v>
      </c>
      <c r="B60" s="459"/>
      <c r="C60" s="459"/>
      <c r="D60" s="459"/>
      <c r="E60" s="459"/>
      <c r="F60" s="459"/>
      <c r="G60" s="459"/>
      <c r="H60" s="459"/>
      <c r="I60" s="459"/>
      <c r="J60" s="459"/>
      <c r="K60" s="459"/>
      <c r="L60" s="459"/>
      <c r="M60" s="459"/>
      <c r="N60" s="459"/>
      <c r="O60" s="460"/>
    </row>
  </sheetData>
  <sheetProtection password="DC9F" sheet="1"/>
  <mergeCells count="66">
    <mergeCell ref="N18:O18"/>
    <mergeCell ref="B10:C10"/>
    <mergeCell ref="D10:E10"/>
    <mergeCell ref="F10:G10"/>
    <mergeCell ref="H10:I10"/>
    <mergeCell ref="J10:K10"/>
    <mergeCell ref="A13:O13"/>
    <mergeCell ref="A12:O12"/>
    <mergeCell ref="B9:C9"/>
    <mergeCell ref="D9:E9"/>
    <mergeCell ref="F9:G9"/>
    <mergeCell ref="H9:I9"/>
    <mergeCell ref="J9:K9"/>
    <mergeCell ref="A8:O8"/>
    <mergeCell ref="A5:O5"/>
    <mergeCell ref="A7:O7"/>
    <mergeCell ref="L1:M1"/>
    <mergeCell ref="A4:O4"/>
    <mergeCell ref="C57:E57"/>
    <mergeCell ref="C47:E47"/>
    <mergeCell ref="A6:O6"/>
    <mergeCell ref="A17:O17"/>
    <mergeCell ref="A15:O15"/>
    <mergeCell ref="J27:K27"/>
    <mergeCell ref="L27:M27"/>
    <mergeCell ref="F27:G27"/>
    <mergeCell ref="C50:E50"/>
    <mergeCell ref="J40:M40"/>
    <mergeCell ref="J41:K41"/>
    <mergeCell ref="C54:E54"/>
    <mergeCell ref="C53:E53"/>
    <mergeCell ref="F40:I40"/>
    <mergeCell ref="L51:M51"/>
    <mergeCell ref="L41:M41"/>
    <mergeCell ref="A60:O60"/>
    <mergeCell ref="A36:O36"/>
    <mergeCell ref="J18:K18"/>
    <mergeCell ref="L18:M18"/>
    <mergeCell ref="A18:A19"/>
    <mergeCell ref="C55:E55"/>
    <mergeCell ref="F50:I50"/>
    <mergeCell ref="J50:M50"/>
    <mergeCell ref="C51:E52"/>
    <mergeCell ref="F51:G51"/>
    <mergeCell ref="H51:I51"/>
    <mergeCell ref="J51:K51"/>
    <mergeCell ref="A27:A28"/>
    <mergeCell ref="B27:C27"/>
    <mergeCell ref="D27:E27"/>
    <mergeCell ref="A26:O26"/>
    <mergeCell ref="C56:E56"/>
    <mergeCell ref="D18:E18"/>
    <mergeCell ref="H27:I27"/>
    <mergeCell ref="A38:O38"/>
    <mergeCell ref="C40:E40"/>
    <mergeCell ref="F18:G18"/>
    <mergeCell ref="H18:I18"/>
    <mergeCell ref="B18:C18"/>
    <mergeCell ref="C43:E43"/>
    <mergeCell ref="C41:E42"/>
    <mergeCell ref="C45:E45"/>
    <mergeCell ref="F41:G41"/>
    <mergeCell ref="H41:I41"/>
    <mergeCell ref="C44:E44"/>
    <mergeCell ref="C46:E46"/>
    <mergeCell ref="N27:O27"/>
  </mergeCells>
  <phoneticPr fontId="14" type="noConversion"/>
  <dataValidations count="3">
    <dataValidation type="whole" allowBlank="1" showInputMessage="1" showErrorMessage="1" sqref="L33 L24">
      <formula1>0</formula1>
      <formula2>10000</formula2>
    </dataValidation>
    <dataValidation allowBlank="1" showInputMessage="1" showErrorMessage="1" sqref="K29:K30 J20:J24 D29:D33 B29:B33 G29:G30 N29:N32 I29:I30 O33 M29:M30 H29:H33 J45:J47 J29:J33 F45:F47 C20:C21 B20:B24 E20:E21 D20:D24 G20:G21 F20:F24 I20:I21 K20:K21 N20:O24 L20:L23 C29:C30 E29:E30 H53:H57 O29:O30 J53:J57 L53:L57 F55:F57 L45:L47 L29:L32 F29:F33 F43:N44 H45:H47 H20:H24 M20:M21 F53:G54 I53:I54 K53:K54 M53:N54"/>
    <dataValidation type="list" allowBlank="1" showInputMessage="1" showErrorMessage="1" sqref="B10:K10">
      <formula1>"Sim,Não"</formula1>
    </dataValidation>
  </dataValidations>
  <hyperlinks>
    <hyperlink ref="I2" location="Início!A1" display="Início"/>
    <hyperlink ref="M2" location="'4_Indisciplina'!A1" display="Seguinte"/>
    <hyperlink ref="K2" location="'2_Av I'!A1" display="Anterior"/>
  </hyperlinks>
  <printOptions horizontalCentered="1"/>
  <pageMargins left="0.15748031496062992" right="0.19685039370078741" top="0.86614173228346458" bottom="0.59055118110236227" header="0.27559055118110237" footer="0.31496062992125984"/>
  <pageSetup paperSize="9" orientation="portrait" r:id="rId1"/>
  <headerFooter alignWithMargins="0">
    <oddHeader>&amp;C&amp;"Calibri,Negrito"&amp;16Relatório TEIP 2015/2016</oddHeader>
    <oddFooter>&amp;RPág.&amp;P de &amp;N da secção 3</oddFooter>
  </headerFooter>
  <rowBreaks count="1" manualBreakCount="1">
    <brk id="14"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1"/>
  <dimension ref="A1:V21"/>
  <sheetViews>
    <sheetView showGridLines="0" workbookViewId="0">
      <selection activeCell="E31" sqref="E31"/>
    </sheetView>
  </sheetViews>
  <sheetFormatPr defaultRowHeight="12.75" x14ac:dyDescent="0.2"/>
  <cols>
    <col min="1" max="1" width="12" customWidth="1"/>
    <col min="2" max="2" width="14.28515625" customWidth="1"/>
    <col min="3" max="3" width="9.85546875" customWidth="1"/>
    <col min="4" max="5" width="12.140625" customWidth="1"/>
    <col min="6" max="9" width="11.85546875" customWidth="1"/>
    <col min="10" max="10" width="12" customWidth="1"/>
    <col min="11" max="11" width="13" customWidth="1"/>
    <col min="12" max="12" width="13" style="122" hidden="1" customWidth="1"/>
    <col min="13" max="13" width="12.140625" hidden="1" customWidth="1"/>
    <col min="14" max="14" width="9.5703125" customWidth="1"/>
  </cols>
  <sheetData>
    <row r="1" spans="1:22" s="13" customFormat="1" ht="30" customHeight="1" x14ac:dyDescent="0.2">
      <c r="A1" s="28" t="str">
        <f>IF(Início!B6&lt;&gt;"",Início!B6,"")</f>
        <v>Agrupamento de Escolas Maximinos</v>
      </c>
      <c r="B1" s="30"/>
      <c r="C1" s="30"/>
      <c r="D1" s="30"/>
      <c r="E1" s="30"/>
      <c r="F1" s="31"/>
      <c r="G1" s="30"/>
      <c r="H1" s="31"/>
      <c r="I1" s="30"/>
      <c r="J1" s="434">
        <f>IF(Início!G5&gt;0,Início!G5,"")</f>
        <v>303089</v>
      </c>
      <c r="K1" s="527"/>
      <c r="L1" s="115">
        <f>J1</f>
        <v>303089</v>
      </c>
    </row>
    <row r="2" spans="1:22" x14ac:dyDescent="0.2">
      <c r="I2" s="60" t="s">
        <v>17</v>
      </c>
      <c r="J2" s="61" t="s">
        <v>19</v>
      </c>
      <c r="K2" s="60" t="s">
        <v>18</v>
      </c>
      <c r="L2" s="116"/>
      <c r="M2" s="44"/>
      <c r="N2" s="43"/>
    </row>
    <row r="3" spans="1:22" ht="23.25" customHeight="1" x14ac:dyDescent="0.2">
      <c r="A3" s="549" t="s">
        <v>34</v>
      </c>
      <c r="B3" s="550"/>
      <c r="C3" s="550"/>
      <c r="D3" s="550"/>
      <c r="E3" s="550"/>
      <c r="F3" s="550"/>
      <c r="G3" s="550"/>
      <c r="H3" s="550"/>
      <c r="I3" s="551"/>
      <c r="J3" s="551"/>
      <c r="K3" s="551"/>
      <c r="L3" s="117"/>
      <c r="M3" s="57"/>
      <c r="O3" s="53"/>
      <c r="P3" s="53"/>
      <c r="Q3" s="53"/>
      <c r="R3" s="53"/>
      <c r="S3" s="53"/>
      <c r="T3" s="53"/>
      <c r="U3" s="53"/>
      <c r="V3" s="53"/>
    </row>
    <row r="4" spans="1:22" ht="12.75" customHeight="1" x14ac:dyDescent="0.2">
      <c r="A4" s="36"/>
      <c r="B4" s="36"/>
      <c r="C4" s="36"/>
      <c r="D4" s="36"/>
      <c r="E4" s="36"/>
      <c r="F4" s="36"/>
      <c r="G4" s="36"/>
      <c r="H4" s="36"/>
      <c r="I4" s="36"/>
      <c r="J4" s="36"/>
      <c r="K4" s="36"/>
      <c r="L4" s="118"/>
      <c r="M4" s="57"/>
    </row>
    <row r="5" spans="1:22" ht="23.25" customHeight="1" x14ac:dyDescent="0.2">
      <c r="A5" s="549" t="s">
        <v>40</v>
      </c>
      <c r="B5" s="550"/>
      <c r="C5" s="550"/>
      <c r="D5" s="550"/>
      <c r="E5" s="550"/>
      <c r="F5" s="550"/>
      <c r="G5" s="550"/>
      <c r="H5" s="550"/>
      <c r="I5" s="551"/>
      <c r="J5" s="551"/>
      <c r="K5" s="551"/>
      <c r="L5" s="117"/>
      <c r="M5" s="20"/>
    </row>
    <row r="6" spans="1:22" ht="24.75" customHeight="1" x14ac:dyDescent="0.2">
      <c r="A6" s="522"/>
      <c r="B6" s="594"/>
      <c r="C6" s="594"/>
      <c r="D6" s="594"/>
      <c r="E6" s="594"/>
      <c r="F6" s="594"/>
      <c r="G6" s="594"/>
      <c r="H6" s="594"/>
      <c r="I6" s="594"/>
      <c r="J6" s="594"/>
      <c r="K6" s="594"/>
      <c r="L6" s="124"/>
      <c r="M6" s="90"/>
      <c r="N6" s="90"/>
      <c r="O6" s="90"/>
    </row>
    <row r="7" spans="1:22" s="15" customFormat="1" ht="30.75" customHeight="1" x14ac:dyDescent="0.2">
      <c r="A7" s="587" t="s">
        <v>48</v>
      </c>
      <c r="B7" s="587" t="s">
        <v>161</v>
      </c>
      <c r="C7" s="590" t="s">
        <v>36</v>
      </c>
      <c r="D7" s="590" t="s">
        <v>38</v>
      </c>
      <c r="E7" s="592" t="s">
        <v>133</v>
      </c>
      <c r="F7" s="592" t="s">
        <v>134</v>
      </c>
      <c r="G7" s="580" t="s">
        <v>57</v>
      </c>
      <c r="H7" s="581"/>
      <c r="I7" s="592" t="s">
        <v>135</v>
      </c>
      <c r="J7" s="592" t="s">
        <v>136</v>
      </c>
      <c r="K7" s="592" t="s">
        <v>137</v>
      </c>
      <c r="L7" s="125"/>
    </row>
    <row r="8" spans="1:22" s="15" customFormat="1" ht="17.25" customHeight="1" x14ac:dyDescent="0.2">
      <c r="A8" s="588"/>
      <c r="B8" s="589"/>
      <c r="C8" s="591"/>
      <c r="D8" s="591"/>
      <c r="E8" s="591"/>
      <c r="F8" s="593"/>
      <c r="G8" s="374" t="s">
        <v>155</v>
      </c>
      <c r="H8" s="375" t="s">
        <v>30</v>
      </c>
      <c r="I8" s="591"/>
      <c r="J8" s="591"/>
      <c r="K8" s="591"/>
      <c r="L8" s="126"/>
    </row>
    <row r="9" spans="1:22" s="212" customFormat="1" ht="17.25" customHeight="1" x14ac:dyDescent="0.2">
      <c r="A9" s="376" t="s">
        <v>171</v>
      </c>
      <c r="B9" s="377">
        <v>1862</v>
      </c>
      <c r="C9" s="377">
        <v>104</v>
      </c>
      <c r="D9" s="377">
        <v>53</v>
      </c>
      <c r="E9" s="378">
        <f>IF(AND(D9&lt;&gt;"",B9&gt;0),D9/B9,"")</f>
        <v>2.8464017185821696E-2</v>
      </c>
      <c r="F9" s="379">
        <f>IF(AND(C9&lt;&gt;"",D9&gt;0),C9/D9,"")</f>
        <v>1.9622641509433962</v>
      </c>
      <c r="G9" s="377">
        <v>62</v>
      </c>
      <c r="H9" s="377">
        <v>29</v>
      </c>
      <c r="I9" s="377">
        <f>IF(OR(G9&lt;&gt;"",H9&lt;&gt;""),G9+H9,"")</f>
        <v>91</v>
      </c>
      <c r="J9" s="378">
        <f>IF(AND(H9&lt;&gt;"",I9&gt;0),H9/I9,"")</f>
        <v>0.31868131868131866</v>
      </c>
      <c r="K9" s="379">
        <f>IF(AND(I9&lt;&gt;"",B9&gt;0),I9/B9,"")</f>
        <v>4.8872180451127817E-2</v>
      </c>
      <c r="L9" s="251">
        <v>1</v>
      </c>
      <c r="M9" s="252" t="str">
        <f>IF(AND(SUM(C9:D9,G9:H9)&gt;0,OR(B9="",B9=0)),"ERRO! Não inseriu o n.º de alunos inscritos; ","")&amp;IF(AND(C9&gt;0,D9=0,D9=""),"ERRO! Existem ocorrências sem alunos envolvidos; ","")&amp;IF(AND(D9&gt;0,C9=0,C9=""),"ERRO! Existem alunos envolvidos sem ocorrências registadas; ","")&amp;IF(OR(AND(SUM(G9:H9)&lt;&gt;0,C9=0,C9=""),AND(SUM(G9:H9)&lt;&gt;0,D9=0,D9="")),"ERRO! Aplicaram medidas disciplinares sem ocorrências / alunos envolvidos em ocorrências; ","")</f>
        <v/>
      </c>
    </row>
    <row r="10" spans="1:22" s="212" customFormat="1" ht="17.25" customHeight="1" x14ac:dyDescent="0.2">
      <c r="A10" s="376" t="s">
        <v>150</v>
      </c>
      <c r="B10" s="377">
        <v>1748</v>
      </c>
      <c r="C10" s="377">
        <v>421</v>
      </c>
      <c r="D10" s="377">
        <v>200</v>
      </c>
      <c r="E10" s="378">
        <f>IF(AND(D10&lt;&gt;"",B10&gt;0),D10/B10,"")</f>
        <v>0.11441647597254005</v>
      </c>
      <c r="F10" s="379">
        <f>IF(AND(C10&lt;&gt;"",D10&gt;0),C10/D10,"")</f>
        <v>2.105</v>
      </c>
      <c r="G10" s="377">
        <v>303</v>
      </c>
      <c r="H10" s="377">
        <v>18</v>
      </c>
      <c r="I10" s="377">
        <f>IF(OR(G10&lt;&gt;"",H10&lt;&gt;""),G10+H10,"")</f>
        <v>321</v>
      </c>
      <c r="J10" s="378">
        <f>IF(AND(H10&lt;&gt;"",I10&gt;0),H10/I10,"")</f>
        <v>5.6074766355140186E-2</v>
      </c>
      <c r="K10" s="379">
        <f>IF(AND(I10&lt;&gt;"",B10&gt;0),I10/B10,"")</f>
        <v>0.18363844393592677</v>
      </c>
      <c r="L10" s="251">
        <v>2</v>
      </c>
      <c r="M10" s="252" t="str">
        <f>IF(AND(SUM(C10:D10,G10:H10)&gt;0,OR(B10="",B10=0)),"ERRO! Não inseriu o n.º de alunos inscritos; ","")&amp;IF(AND(C10&gt;0,D10=0,D10=""),"ERRO! Existem ocorrências sem alunos envolvidos; ","")&amp;IF(AND(D10&gt;0,C10=0,C10=""),"ERRO! Existem alunos envolvidos sem ocorrências registadas; ","")&amp;IF(OR(AND(SUM(G10:H10)&lt;&gt;0,C10=0,C10=""),AND(SUM(G10:H10)&lt;&gt;0,D10=0,D10="")),"ERRO! Aplicaram medidas disciplinares sem ocorrências / alunos envolvidos em ocorrências; ","")</f>
        <v/>
      </c>
    </row>
    <row r="11" spans="1:22" s="212" customFormat="1" ht="17.25" customHeight="1" x14ac:dyDescent="0.2">
      <c r="A11" s="376" t="s">
        <v>167</v>
      </c>
      <c r="B11" s="377">
        <v>1580</v>
      </c>
      <c r="C11" s="377">
        <v>259</v>
      </c>
      <c r="D11" s="377">
        <v>115</v>
      </c>
      <c r="E11" s="378">
        <f>IF(AND(D11&lt;&gt;"",B11&gt;0),D11/B11,"")</f>
        <v>7.2784810126582278E-2</v>
      </c>
      <c r="F11" s="379">
        <f>IF(AND(C11&lt;&gt;"",D11&gt;0),C11/D11,"")</f>
        <v>2.2521739130434781</v>
      </c>
      <c r="G11" s="377">
        <v>137</v>
      </c>
      <c r="H11" s="377">
        <v>8</v>
      </c>
      <c r="I11" s="377">
        <f>IF(OR(G11&lt;&gt;"",H11&lt;&gt;""),G11+H11,"")</f>
        <v>145</v>
      </c>
      <c r="J11" s="378">
        <f>IF(AND(H11&lt;&gt;"",I11&gt;0),H11/I11,"")</f>
        <v>5.5172413793103448E-2</v>
      </c>
      <c r="K11" s="379">
        <f>IF(AND(I11&lt;&gt;"",B11&gt;0),I11/B11,"")</f>
        <v>9.1772151898734181E-2</v>
      </c>
      <c r="L11" s="251">
        <v>3</v>
      </c>
      <c r="M11" s="252"/>
    </row>
    <row r="12" spans="1:22" s="212" customFormat="1" ht="17.25" customHeight="1" x14ac:dyDescent="0.2">
      <c r="A12" s="376" t="s">
        <v>164</v>
      </c>
      <c r="B12" s="377">
        <v>1463</v>
      </c>
      <c r="C12" s="377">
        <v>161</v>
      </c>
      <c r="D12" s="377">
        <v>64</v>
      </c>
      <c r="E12" s="378">
        <f>IF(AND(D12&lt;&gt;"",B12&gt;0),D12/B12,"")</f>
        <v>4.3745727956254275E-2</v>
      </c>
      <c r="F12" s="379">
        <f>IF(AND(C12&lt;&gt;"",D12&gt;0),C12/D12,"")</f>
        <v>2.515625</v>
      </c>
      <c r="G12" s="377">
        <v>98</v>
      </c>
      <c r="H12" s="377">
        <v>11</v>
      </c>
      <c r="I12" s="377">
        <f>IF(OR(G12&lt;&gt;"",H12&lt;&gt;""),G12+H12,"")</f>
        <v>109</v>
      </c>
      <c r="J12" s="378">
        <f>IF(AND(H12&lt;&gt;"",I12&gt;0),H12/I12,"")</f>
        <v>0.10091743119266056</v>
      </c>
      <c r="K12" s="379">
        <f>IF(AND(I12&lt;&gt;"",B12&gt;0),I12/B12,"")</f>
        <v>7.4504442925495559E-2</v>
      </c>
      <c r="L12" s="251">
        <v>4</v>
      </c>
      <c r="M12" s="252"/>
    </row>
    <row r="13" spans="1:22" s="212" customFormat="1" ht="17.25" customHeight="1" x14ac:dyDescent="0.2">
      <c r="A13" s="376" t="s">
        <v>203</v>
      </c>
      <c r="B13" s="128">
        <v>1379</v>
      </c>
      <c r="C13" s="129">
        <v>137</v>
      </c>
      <c r="D13" s="128">
        <v>82</v>
      </c>
      <c r="E13" s="378">
        <f>IF(AND(D13&lt;&gt;"",B13&gt;0),D13/B13,"")</f>
        <v>5.9463379260333578E-2</v>
      </c>
      <c r="F13" s="379">
        <f>IF(AND(C13&lt;&gt;"",D13&gt;0),C13/D13,"")</f>
        <v>1.6707317073170731</v>
      </c>
      <c r="G13" s="128">
        <v>75</v>
      </c>
      <c r="H13" s="128">
        <v>16</v>
      </c>
      <c r="I13" s="377">
        <f>IF(OR(G13&lt;&gt;"",H13&lt;&gt;""),G13+H13,"")</f>
        <v>91</v>
      </c>
      <c r="J13" s="378">
        <f>IF(AND(H13&lt;&gt;"",I13&gt;0),H13/I13,"")</f>
        <v>0.17582417582417584</v>
      </c>
      <c r="K13" s="379">
        <f>IF(AND(I13&lt;&gt;"",B13&gt;0),I13/B13,"")</f>
        <v>6.5989847715736044E-2</v>
      </c>
      <c r="L13" s="251"/>
      <c r="M13" s="252" t="str">
        <f>IF(AND(SUM(C13:D13,G13:H13)&gt;0,OR(B13="",B13=0)),"ERRO! Não inseriu o n.º de alunos inscritos; ","")&amp;IF(AND(C13&gt;0,D13=0,D13=""),"ERRO! Existem ocorrências sem alunos envolvidos; ","")&amp;IF(AND(D13&gt;0,C13=0,C13=""),"ERRO! Existem alunos envolvidos sem ocorrências registadas; ","")&amp;IF(OR(AND(SUM(G13:H13)&lt;&gt;0,C13=0,C13=""),AND(SUM(G13:H13)&lt;&gt;0,D13=0,D13="")),"ERRO! Aplicaram medidas disciplinares sem ocorrências / alunos envolvidos em ocorrências; ","")</f>
        <v/>
      </c>
    </row>
    <row r="14" spans="1:22" s="59" customFormat="1" ht="60.75" customHeight="1" x14ac:dyDescent="0.2">
      <c r="A14" s="585" t="s">
        <v>199</v>
      </c>
      <c r="B14" s="585"/>
      <c r="C14" s="585"/>
      <c r="D14" s="585"/>
      <c r="E14" s="585"/>
      <c r="F14" s="585"/>
      <c r="G14" s="585"/>
      <c r="H14" s="585"/>
      <c r="I14" s="586"/>
      <c r="J14" s="586"/>
      <c r="K14" s="586"/>
      <c r="L14" s="127"/>
      <c r="M14" s="57"/>
    </row>
    <row r="15" spans="1:22" s="14" customFormat="1" ht="18" customHeight="1" x14ac:dyDescent="0.2">
      <c r="A15" s="6" t="s">
        <v>217</v>
      </c>
      <c r="L15" s="119"/>
    </row>
    <row r="16" spans="1:22" ht="57" customHeight="1" x14ac:dyDescent="0.2">
      <c r="A16" s="458" t="s">
        <v>357</v>
      </c>
      <c r="B16" s="459"/>
      <c r="C16" s="459"/>
      <c r="D16" s="459"/>
      <c r="E16" s="459"/>
      <c r="F16" s="459"/>
      <c r="G16" s="459"/>
      <c r="H16" s="459"/>
      <c r="I16" s="459"/>
      <c r="J16" s="459"/>
      <c r="K16" s="460"/>
      <c r="L16" s="120"/>
    </row>
    <row r="17" spans="1:15" ht="14.25" customHeight="1" x14ac:dyDescent="0.2">
      <c r="A17" s="47"/>
      <c r="B17" s="47"/>
      <c r="C17" s="47"/>
      <c r="D17" s="47"/>
      <c r="E17" s="47"/>
      <c r="F17" s="47"/>
      <c r="G17" s="47"/>
      <c r="H17" s="47"/>
      <c r="I17" s="47"/>
      <c r="J17" s="47"/>
      <c r="K17" s="47"/>
      <c r="L17" s="121"/>
      <c r="M17" s="4"/>
    </row>
    <row r="18" spans="1:15" ht="36" customHeight="1" x14ac:dyDescent="0.2">
      <c r="A18" s="549" t="s">
        <v>56</v>
      </c>
      <c r="B18" s="550"/>
      <c r="C18" s="550"/>
      <c r="D18" s="550"/>
      <c r="E18" s="550"/>
      <c r="F18" s="550"/>
      <c r="G18" s="550"/>
      <c r="H18" s="550"/>
      <c r="I18" s="551"/>
      <c r="J18" s="551"/>
      <c r="K18" s="551"/>
      <c r="L18" s="117"/>
      <c r="M18" s="4"/>
    </row>
    <row r="19" spans="1:15" ht="10.5" customHeight="1" x14ac:dyDescent="0.2">
      <c r="M19" s="4"/>
    </row>
    <row r="20" spans="1:15" s="4" customFormat="1" ht="19.5" customHeight="1" x14ac:dyDescent="0.2">
      <c r="F20" s="81" t="s">
        <v>169</v>
      </c>
      <c r="G20" s="48" t="s">
        <v>60</v>
      </c>
      <c r="H20" s="81" t="s">
        <v>129</v>
      </c>
      <c r="I20" s="100" t="s">
        <v>164</v>
      </c>
      <c r="J20" s="133" t="s">
        <v>203</v>
      </c>
      <c r="L20" s="123"/>
    </row>
    <row r="21" spans="1:15" s="4" customFormat="1" ht="18" customHeight="1" x14ac:dyDescent="0.2">
      <c r="C21" s="582" t="s">
        <v>39</v>
      </c>
      <c r="D21" s="583"/>
      <c r="E21" s="584"/>
      <c r="F21" s="249" t="s">
        <v>120</v>
      </c>
      <c r="G21" s="249" t="s">
        <v>120</v>
      </c>
      <c r="H21" s="249" t="s">
        <v>191</v>
      </c>
      <c r="I21" s="249" t="s">
        <v>192</v>
      </c>
      <c r="J21" s="130" t="s">
        <v>192</v>
      </c>
      <c r="L21" s="123"/>
      <c r="O21" s="49"/>
    </row>
  </sheetData>
  <sheetProtection password="DC9F" sheet="1"/>
  <mergeCells count="18">
    <mergeCell ref="J1:K1"/>
    <mergeCell ref="A7:A8"/>
    <mergeCell ref="B7:B8"/>
    <mergeCell ref="C7:C8"/>
    <mergeCell ref="D7:D8"/>
    <mergeCell ref="E7:E8"/>
    <mergeCell ref="F7:F8"/>
    <mergeCell ref="A3:K3"/>
    <mergeCell ref="A5:K5"/>
    <mergeCell ref="I7:I8"/>
    <mergeCell ref="J7:J8"/>
    <mergeCell ref="K7:K8"/>
    <mergeCell ref="A6:K6"/>
    <mergeCell ref="A16:K16"/>
    <mergeCell ref="G7:H7"/>
    <mergeCell ref="C21:E21"/>
    <mergeCell ref="A18:K18"/>
    <mergeCell ref="A14:K14"/>
  </mergeCells>
  <phoneticPr fontId="14" type="noConversion"/>
  <dataValidations count="2">
    <dataValidation type="list" allowBlank="1" showInputMessage="1" showErrorMessage="1" sqref="J21">
      <formula1>"1.º Ciclo, 2.º Ciclo, 3.º Ciclo, Secundário"</formula1>
    </dataValidation>
    <dataValidation type="whole" allowBlank="1" showInputMessage="1" showErrorMessage="1" sqref="B13:D13 G13:H13">
      <formula1>0</formula1>
      <formula2>10000</formula2>
    </dataValidation>
  </dataValidations>
  <hyperlinks>
    <hyperlink ref="I2" location="Início!A1" display="Início"/>
    <hyperlink ref="K2" location="'5.1 - Metas Gerais'!A1" display="Seguinte"/>
    <hyperlink ref="J2" location="'3_Av Ext'!A1" display="Anterior"/>
  </hyperlinks>
  <printOptions horizontalCentered="1"/>
  <pageMargins left="0.74803149606299213" right="0.74803149606299213" top="0.86614173228346458" bottom="0.59055118110236227" header="0.27559055118110237" footer="0.31496062992125984"/>
  <pageSetup paperSize="9" orientation="landscape" r:id="rId1"/>
  <headerFooter alignWithMargins="0">
    <oddHeader>&amp;C&amp;"Calibri,Negrito"&amp;16Relatório TEIP 2015/2016</oddHeader>
    <oddFooter>&amp;RPág.&amp;P de &amp;N da secção 4</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A1:AA133"/>
  <sheetViews>
    <sheetView topLeftCell="A52" zoomScaleNormal="100" workbookViewId="0">
      <selection activeCell="B97" sqref="B97:M97"/>
    </sheetView>
  </sheetViews>
  <sheetFormatPr defaultRowHeight="15" x14ac:dyDescent="0.25"/>
  <cols>
    <col min="1" max="1" width="7.85546875" style="262" customWidth="1"/>
    <col min="2" max="2" width="20.5703125" style="262" customWidth="1"/>
    <col min="3" max="13" width="10.85546875" style="262" customWidth="1"/>
    <col min="14" max="14" width="8.140625" style="355" hidden="1" customWidth="1"/>
    <col min="15" max="15" width="7.140625" style="355" hidden="1" customWidth="1"/>
    <col min="16" max="16" width="9.7109375" style="355" hidden="1" customWidth="1"/>
    <col min="17" max="17" width="9.5703125" style="355" hidden="1" customWidth="1"/>
    <col min="18" max="18" width="9.140625" style="355" hidden="1" customWidth="1"/>
    <col min="19" max="21" width="9.140625" style="263" customWidth="1"/>
    <col min="22" max="31" width="9.140625" style="262" customWidth="1"/>
    <col min="32" max="16384" width="9.140625" style="262"/>
  </cols>
  <sheetData>
    <row r="1" spans="1:27" s="259" customFormat="1" ht="30" customHeight="1" x14ac:dyDescent="0.2">
      <c r="A1" s="254" t="str">
        <f>IF(Início!B6&lt;&gt;"",Início!B6,"")</f>
        <v>Agrupamento de Escolas Maximinos</v>
      </c>
      <c r="B1" s="254"/>
      <c r="C1" s="255"/>
      <c r="D1" s="255"/>
      <c r="E1" s="255"/>
      <c r="F1" s="256"/>
      <c r="G1" s="257"/>
      <c r="H1" s="257"/>
      <c r="I1" s="257"/>
      <c r="J1" s="257"/>
      <c r="K1" s="257"/>
      <c r="L1" s="257"/>
      <c r="M1" s="258">
        <f>IF(Início!G5&gt;0,Início!G5,"")</f>
        <v>303089</v>
      </c>
      <c r="N1" s="353">
        <f>M1</f>
        <v>303089</v>
      </c>
      <c r="O1" s="353"/>
      <c r="P1" s="353"/>
      <c r="Q1" s="353"/>
      <c r="R1" s="353"/>
    </row>
    <row r="2" spans="1:27" s="260" customFormat="1" ht="15" customHeight="1" x14ac:dyDescent="0.2">
      <c r="J2" s="60" t="s">
        <v>17</v>
      </c>
      <c r="K2" s="61" t="s">
        <v>19</v>
      </c>
      <c r="L2" s="60" t="s">
        <v>18</v>
      </c>
      <c r="N2" s="354"/>
      <c r="O2" s="354"/>
      <c r="P2" s="354"/>
      <c r="Q2" s="354"/>
      <c r="R2" s="354"/>
      <c r="S2" s="261"/>
      <c r="T2" s="261"/>
      <c r="U2" s="261"/>
    </row>
    <row r="3" spans="1:27" ht="8.25" customHeight="1" x14ac:dyDescent="0.25"/>
    <row r="4" spans="1:27" ht="38.25" customHeight="1" x14ac:dyDescent="0.35">
      <c r="A4" s="769" t="s">
        <v>302</v>
      </c>
      <c r="B4" s="769"/>
      <c r="C4" s="769"/>
      <c r="D4" s="769"/>
      <c r="E4" s="769"/>
      <c r="F4" s="769"/>
      <c r="G4" s="769"/>
      <c r="H4" s="769"/>
      <c r="I4" s="770"/>
      <c r="J4" s="770"/>
      <c r="K4" s="770"/>
      <c r="L4" s="770"/>
      <c r="M4" s="770"/>
    </row>
    <row r="5" spans="1:27" ht="21" customHeight="1" x14ac:dyDescent="0.25"/>
    <row r="6" spans="1:27" ht="36.75" customHeight="1" x14ac:dyDescent="0.35">
      <c r="A6" s="771" t="s">
        <v>61</v>
      </c>
      <c r="B6" s="771"/>
      <c r="C6" s="771"/>
      <c r="D6" s="771"/>
      <c r="E6" s="771"/>
      <c r="F6" s="771"/>
      <c r="G6" s="771"/>
      <c r="H6" s="771"/>
      <c r="I6" s="771"/>
      <c r="J6" s="771"/>
      <c r="K6" s="771"/>
      <c r="L6" s="772"/>
      <c r="M6" s="772"/>
    </row>
    <row r="7" spans="1:27" ht="8.25" customHeight="1" x14ac:dyDescent="0.25"/>
    <row r="8" spans="1:27" ht="9" customHeight="1" x14ac:dyDescent="0.25"/>
    <row r="9" spans="1:27" ht="30" customHeight="1" x14ac:dyDescent="0.25">
      <c r="A9" s="765" t="s">
        <v>313</v>
      </c>
      <c r="B9" s="763"/>
      <c r="C9" s="766"/>
      <c r="D9" s="766"/>
      <c r="E9" s="766"/>
      <c r="F9" s="766"/>
      <c r="G9" s="766"/>
      <c r="H9" s="766"/>
      <c r="I9" s="766"/>
      <c r="J9" s="766"/>
      <c r="K9" s="766"/>
      <c r="L9" s="766"/>
      <c r="M9" s="767"/>
    </row>
    <row r="10" spans="1:27" s="260" customFormat="1" ht="19.5" customHeight="1" x14ac:dyDescent="0.2">
      <c r="A10" s="757"/>
      <c r="B10" s="758"/>
      <c r="C10" s="757" t="s">
        <v>70</v>
      </c>
      <c r="D10" s="768"/>
      <c r="E10" s="768"/>
      <c r="F10" s="768"/>
      <c r="G10" s="758"/>
      <c r="H10" s="757" t="s">
        <v>62</v>
      </c>
      <c r="I10" s="760"/>
      <c r="J10" s="761"/>
      <c r="K10" s="757" t="s">
        <v>71</v>
      </c>
      <c r="L10" s="760"/>
      <c r="M10" s="761"/>
      <c r="N10" s="354"/>
      <c r="O10" s="354"/>
      <c r="P10" s="354"/>
      <c r="Q10" s="354"/>
      <c r="R10" s="354"/>
      <c r="S10" s="261"/>
      <c r="T10" s="261"/>
      <c r="U10" s="261"/>
    </row>
    <row r="11" spans="1:27" s="268" customFormat="1" ht="74.25" customHeight="1" x14ac:dyDescent="0.2">
      <c r="A11" s="746" t="s">
        <v>63</v>
      </c>
      <c r="B11" s="747"/>
      <c r="C11" s="264">
        <v>5</v>
      </c>
      <c r="D11" s="264">
        <v>4</v>
      </c>
      <c r="E11" s="264">
        <v>3</v>
      </c>
      <c r="F11" s="264">
        <v>2</v>
      </c>
      <c r="G11" s="264">
        <v>1</v>
      </c>
      <c r="H11" s="265" t="s">
        <v>64</v>
      </c>
      <c r="I11" s="265" t="s">
        <v>65</v>
      </c>
      <c r="J11" s="266" t="s">
        <v>66</v>
      </c>
      <c r="K11" s="265" t="s">
        <v>64</v>
      </c>
      <c r="L11" s="265" t="s">
        <v>65</v>
      </c>
      <c r="M11" s="266" t="s">
        <v>66</v>
      </c>
      <c r="N11" s="356"/>
      <c r="O11" s="356"/>
      <c r="P11" s="356"/>
      <c r="Q11" s="356"/>
      <c r="S11" s="267"/>
      <c r="T11" s="267"/>
      <c r="U11" s="267"/>
    </row>
    <row r="12" spans="1:27" s="260" customFormat="1" ht="18" customHeight="1" x14ac:dyDescent="0.2">
      <c r="A12" s="748" t="s">
        <v>204</v>
      </c>
      <c r="B12" s="623"/>
      <c r="C12" s="387">
        <f>IF('3_Av Ext'!B24&lt;&gt;"",'3_Av Ext'!B24,"")</f>
        <v>3</v>
      </c>
      <c r="D12" s="387">
        <f>IF('3_Av Ext'!D24&lt;&gt;"",'3_Av Ext'!D24,"")</f>
        <v>17</v>
      </c>
      <c r="E12" s="387">
        <f>IF('3_Av Ext'!F24&lt;&gt;"",'3_Av Ext'!F24,"")</f>
        <v>66</v>
      </c>
      <c r="F12" s="387">
        <f>IF('3_Av Ext'!H24&lt;&gt;"",'3_Av Ext'!H24,"")</f>
        <v>45</v>
      </c>
      <c r="G12" s="387">
        <f>IF('3_Av Ext'!J24&lt;&gt;"",'3_Av Ext'!J24,"")</f>
        <v>1</v>
      </c>
      <c r="H12" s="271">
        <f>IF(SUM(C12:G12)&gt;0,SUM(C12:E12)/SUM(C12:G12),"")</f>
        <v>0.65151515151515149</v>
      </c>
      <c r="I12" s="272">
        <v>0.71209999999999996</v>
      </c>
      <c r="J12" s="273">
        <f>IF(H12&lt;&gt;"",H12-I12,"")</f>
        <v>-6.0584848484848464E-2</v>
      </c>
      <c r="K12" s="274">
        <f>IF(SUM(C12:G12)&gt;0,(C12*5+D12*4+E12*3+F12*2+G12*1)/SUM(C12:G12),"")</f>
        <v>2.8181818181818183</v>
      </c>
      <c r="L12" s="275">
        <v>2.95</v>
      </c>
      <c r="M12" s="276">
        <f>IF(K12&lt;&gt;"",K12-L12,"")</f>
        <v>-0.13181818181818183</v>
      </c>
      <c r="N12" s="354">
        <f>IF(AND(COUNT(C12:G12)&lt;&gt;0,I12&lt;&gt;"",L12&lt;&gt;""),1,0)</f>
        <v>1</v>
      </c>
      <c r="O12" s="354"/>
      <c r="P12" s="354"/>
      <c r="Q12" s="356"/>
      <c r="R12" s="268"/>
      <c r="S12" s="267"/>
      <c r="T12" s="267"/>
      <c r="U12" s="267"/>
      <c r="V12" s="268"/>
      <c r="W12" s="268"/>
      <c r="X12" s="268"/>
      <c r="Y12" s="268"/>
      <c r="Z12" s="268"/>
      <c r="AA12" s="268"/>
    </row>
    <row r="13" spans="1:27" s="260" customFormat="1" ht="12" customHeight="1" x14ac:dyDescent="0.2">
      <c r="A13" s="277"/>
      <c r="B13" s="278"/>
      <c r="C13" s="294" t="s">
        <v>72</v>
      </c>
      <c r="D13" s="279"/>
      <c r="E13" s="279"/>
      <c r="F13" s="279"/>
      <c r="G13" s="279"/>
      <c r="H13" s="280"/>
      <c r="I13" s="281"/>
      <c r="J13" s="280"/>
      <c r="K13" s="282"/>
      <c r="L13" s="283"/>
      <c r="M13" s="284"/>
      <c r="N13" s="354"/>
      <c r="O13" s="354"/>
      <c r="P13" s="354"/>
      <c r="Q13" s="356"/>
      <c r="R13" s="268"/>
      <c r="S13" s="267"/>
      <c r="T13" s="267"/>
      <c r="U13" s="267"/>
      <c r="V13" s="268"/>
      <c r="W13" s="268"/>
      <c r="X13" s="268"/>
      <c r="Y13" s="268"/>
      <c r="Z13" s="268"/>
      <c r="AA13" s="268"/>
    </row>
    <row r="14" spans="1:27" s="289" customFormat="1" ht="24" customHeight="1" x14ac:dyDescent="0.25">
      <c r="A14" s="285"/>
      <c r="B14" s="286"/>
      <c r="C14" s="287"/>
      <c r="D14" s="287"/>
      <c r="E14" s="287"/>
      <c r="F14" s="749" t="s">
        <v>67</v>
      </c>
      <c r="G14" s="749"/>
      <c r="H14" s="749" t="s">
        <v>195</v>
      </c>
      <c r="I14" s="749"/>
      <c r="J14" s="749" t="s">
        <v>114</v>
      </c>
      <c r="K14" s="749"/>
      <c r="L14" s="750" t="s">
        <v>115</v>
      </c>
      <c r="M14" s="751"/>
      <c r="N14" s="357"/>
      <c r="O14" s="358"/>
      <c r="P14" s="358"/>
      <c r="Q14" s="356"/>
      <c r="R14" s="268"/>
      <c r="S14" s="267"/>
      <c r="T14" s="267"/>
      <c r="U14" s="267"/>
      <c r="V14" s="268"/>
      <c r="W14" s="268"/>
      <c r="X14" s="268"/>
      <c r="Y14" s="268"/>
      <c r="Z14" s="268"/>
      <c r="AA14" s="268"/>
    </row>
    <row r="15" spans="1:27" s="260" customFormat="1" ht="51.75" customHeight="1" x14ac:dyDescent="0.2">
      <c r="A15" s="728" t="s">
        <v>112</v>
      </c>
      <c r="B15" s="290" t="s">
        <v>68</v>
      </c>
      <c r="C15" s="730" t="s">
        <v>138</v>
      </c>
      <c r="D15" s="731"/>
      <c r="E15" s="732"/>
      <c r="F15" s="733">
        <v>7.1800000000000003E-2</v>
      </c>
      <c r="G15" s="734"/>
      <c r="H15" s="733">
        <v>-0.05</v>
      </c>
      <c r="I15" s="734"/>
      <c r="J15" s="735">
        <f>J12</f>
        <v>-6.0584848484848464E-2</v>
      </c>
      <c r="K15" s="736"/>
      <c r="L15" s="737" t="str">
        <f>IF(N12=1,IF(AND(H15&lt;&gt;"",J15&lt;&gt;""),IF(J15&gt;=H15,"Submeta cumprida","Submeta não cumprida"),""),"")</f>
        <v>Submeta não cumprida</v>
      </c>
      <c r="M15" s="762"/>
      <c r="N15" s="359">
        <f>IF(L15="Submeta cumprida",1,0)</f>
        <v>0</v>
      </c>
      <c r="O15" s="354"/>
      <c r="P15" s="354"/>
      <c r="Q15" s="354"/>
      <c r="R15" s="354"/>
      <c r="S15" s="261"/>
      <c r="T15" s="261"/>
      <c r="U15" s="261"/>
    </row>
    <row r="16" spans="1:27" s="260" customFormat="1" ht="51.75" customHeight="1" x14ac:dyDescent="0.2">
      <c r="A16" s="729"/>
      <c r="B16" s="291" t="s">
        <v>69</v>
      </c>
      <c r="C16" s="739" t="s">
        <v>139</v>
      </c>
      <c r="D16" s="740"/>
      <c r="E16" s="741"/>
      <c r="F16" s="742">
        <v>0.14000000000000001</v>
      </c>
      <c r="G16" s="743"/>
      <c r="H16" s="742">
        <v>-0.05</v>
      </c>
      <c r="I16" s="743"/>
      <c r="J16" s="744">
        <f>M12</f>
        <v>-0.13181818181818183</v>
      </c>
      <c r="K16" s="745"/>
      <c r="L16" s="719" t="str">
        <f>IF(N12=1,IF(AND(H16&lt;&gt;"",J16&lt;&gt;""),IF(J16&gt;=H16,"Submeta cumprida","Submeta não cumprida"),""),"")</f>
        <v>Submeta não cumprida</v>
      </c>
      <c r="M16" s="752"/>
      <c r="N16" s="359">
        <f>IF(L16="Submeta cumprida",1,0)</f>
        <v>0</v>
      </c>
      <c r="O16" s="354"/>
      <c r="P16" s="354"/>
      <c r="Q16" s="354"/>
      <c r="R16" s="354"/>
      <c r="S16" s="261"/>
      <c r="T16" s="261"/>
      <c r="U16" s="261"/>
    </row>
    <row r="17" spans="1:21" s="260" customFormat="1" ht="24" customHeight="1" x14ac:dyDescent="0.2">
      <c r="A17" s="721" t="str">
        <f>IF(H15&lt;&gt;"","Para obter sucesso na Prova 1 é necessário cumprir as submetas     A","")</f>
        <v>Para obter sucesso na Prova 1 é necessário cumprir as submetas     A</v>
      </c>
      <c r="B17" s="722"/>
      <c r="C17" s="722"/>
      <c r="D17" s="722"/>
      <c r="E17" s="722"/>
      <c r="F17" s="292" t="str">
        <f>IF(F15&lt;&gt;"",IF(F15&lt;-0.05,"ou","e"),"")</f>
        <v>e</v>
      </c>
      <c r="G17" s="293" t="str">
        <f>IF(H15&lt;&gt;"","B","")</f>
        <v>B</v>
      </c>
      <c r="H17" s="723" t="str">
        <f>IF(N12=1,IF(H15&lt;&gt;"",IF(N17=1,"Foi alcançado sucesso na Prova 1","Não foi alcançado sucesso na Prova 1"),""),"")</f>
        <v>Não foi alcançado sucesso na Prova 1</v>
      </c>
      <c r="I17" s="724"/>
      <c r="J17" s="724"/>
      <c r="K17" s="724"/>
      <c r="L17" s="724"/>
      <c r="M17" s="725"/>
      <c r="N17" s="354">
        <f>IF(F17&lt;&gt;"",IF(F17="ou",IF(OR(N15=1,N16=1),1,0),0)+IF(F17="e",IF(AND(N15=1,N16=1),1,0),0),"")</f>
        <v>0</v>
      </c>
      <c r="O17" s="354">
        <f>SUM(C12:G12)</f>
        <v>132</v>
      </c>
      <c r="P17" s="354"/>
      <c r="Q17" s="354"/>
      <c r="R17" s="354"/>
      <c r="S17" s="261"/>
      <c r="T17" s="261"/>
      <c r="U17" s="261"/>
    </row>
    <row r="18" spans="1:21" ht="9" customHeight="1" x14ac:dyDescent="0.25"/>
    <row r="19" spans="1:21" ht="30" customHeight="1" x14ac:dyDescent="0.25">
      <c r="A19" s="765" t="s">
        <v>314</v>
      </c>
      <c r="B19" s="763"/>
      <c r="C19" s="766"/>
      <c r="D19" s="766"/>
      <c r="E19" s="766"/>
      <c r="F19" s="766"/>
      <c r="G19" s="766"/>
      <c r="H19" s="766"/>
      <c r="I19" s="766"/>
      <c r="J19" s="766"/>
      <c r="K19" s="766"/>
      <c r="L19" s="766"/>
      <c r="M19" s="767"/>
    </row>
    <row r="20" spans="1:21" s="260" customFormat="1" ht="19.5" customHeight="1" x14ac:dyDescent="0.2">
      <c r="A20" s="757"/>
      <c r="B20" s="758"/>
      <c r="C20" s="757" t="s">
        <v>70</v>
      </c>
      <c r="D20" s="768"/>
      <c r="E20" s="768"/>
      <c r="F20" s="768"/>
      <c r="G20" s="758"/>
      <c r="H20" s="757" t="s">
        <v>62</v>
      </c>
      <c r="I20" s="760"/>
      <c r="J20" s="761"/>
      <c r="K20" s="757" t="s">
        <v>71</v>
      </c>
      <c r="L20" s="760"/>
      <c r="M20" s="761"/>
      <c r="N20" s="354"/>
      <c r="O20" s="354"/>
      <c r="P20" s="354"/>
      <c r="Q20" s="354"/>
      <c r="R20" s="354"/>
      <c r="S20" s="261"/>
      <c r="T20" s="261"/>
      <c r="U20" s="261"/>
    </row>
    <row r="21" spans="1:21" s="268" customFormat="1" ht="74.25" customHeight="1" x14ac:dyDescent="0.2">
      <c r="A21" s="746" t="s">
        <v>63</v>
      </c>
      <c r="B21" s="747"/>
      <c r="C21" s="264">
        <v>5</v>
      </c>
      <c r="D21" s="264">
        <v>4</v>
      </c>
      <c r="E21" s="264">
        <v>3</v>
      </c>
      <c r="F21" s="264">
        <v>2</v>
      </c>
      <c r="G21" s="264">
        <v>1</v>
      </c>
      <c r="H21" s="265" t="s">
        <v>64</v>
      </c>
      <c r="I21" s="265" t="s">
        <v>65</v>
      </c>
      <c r="J21" s="266" t="s">
        <v>66</v>
      </c>
      <c r="K21" s="265" t="s">
        <v>64</v>
      </c>
      <c r="L21" s="265" t="s">
        <v>65</v>
      </c>
      <c r="M21" s="266" t="s">
        <v>66</v>
      </c>
      <c r="N21" s="356"/>
      <c r="O21" s="356"/>
      <c r="P21" s="356"/>
      <c r="Q21" s="356"/>
      <c r="R21" s="356"/>
      <c r="S21" s="267"/>
      <c r="T21" s="267"/>
      <c r="U21" s="267"/>
    </row>
    <row r="22" spans="1:21" s="260" customFormat="1" ht="18" customHeight="1" x14ac:dyDescent="0.2">
      <c r="A22" s="748" t="s">
        <v>204</v>
      </c>
      <c r="B22" s="623"/>
      <c r="C22" s="387">
        <f>IF('3_Av Ext'!B33&lt;&gt;"",'3_Av Ext'!B33,"")</f>
        <v>10</v>
      </c>
      <c r="D22" s="387">
        <f>IF('3_Av Ext'!D33&lt;&gt;"",'3_Av Ext'!D33,"")</f>
        <v>32</v>
      </c>
      <c r="E22" s="387">
        <f>IF('3_Av Ext'!F33&lt;&gt;"",'3_Av Ext'!F33,"")</f>
        <v>33</v>
      </c>
      <c r="F22" s="387">
        <f>IF('3_Av Ext'!H33&lt;&gt;"",'3_Av Ext'!H33,"")</f>
        <v>36</v>
      </c>
      <c r="G22" s="387">
        <f>IF('3_Av Ext'!J33&lt;&gt;"",'3_Av Ext'!J33,"")</f>
        <v>21</v>
      </c>
      <c r="H22" s="271">
        <f>IF(SUM(C22:G22)&gt;0,SUM(C22:E22)/SUM(C22:G22),"")</f>
        <v>0.56818181818181823</v>
      </c>
      <c r="I22" s="272">
        <v>0.4642</v>
      </c>
      <c r="J22" s="273">
        <f>IF(H22&lt;&gt;"",H22-I22,"")</f>
        <v>0.10398181818181823</v>
      </c>
      <c r="K22" s="274">
        <f>IF(SUM(C22:G22)&gt;0,(C22*5+D22*4+E22*3+F22*2+G22*1)/SUM(C22:G22),"")</f>
        <v>2.8030303030303032</v>
      </c>
      <c r="L22" s="275">
        <v>2.5499999999999998</v>
      </c>
      <c r="M22" s="276">
        <f>IF(K22&lt;&gt;"",K22-L22,"")</f>
        <v>0.25303030303030338</v>
      </c>
      <c r="N22" s="354">
        <f>IF(AND(COUNT(C22:G22)&lt;&gt;0,I22&lt;&gt;"",L22&lt;&gt;""),1,0)</f>
        <v>1</v>
      </c>
      <c r="O22" s="354"/>
      <c r="P22" s="354"/>
      <c r="Q22" s="354"/>
      <c r="R22" s="354"/>
      <c r="S22" s="261"/>
      <c r="T22" s="261"/>
      <c r="U22" s="261"/>
    </row>
    <row r="23" spans="1:21" s="260" customFormat="1" ht="12" customHeight="1" x14ac:dyDescent="0.2">
      <c r="A23" s="277"/>
      <c r="B23" s="278"/>
      <c r="C23" s="294" t="s">
        <v>72</v>
      </c>
      <c r="D23" s="279"/>
      <c r="E23" s="279"/>
      <c r="F23" s="279"/>
      <c r="G23" s="279"/>
      <c r="H23" s="280"/>
      <c r="I23" s="281"/>
      <c r="J23" s="280"/>
      <c r="K23" s="282"/>
      <c r="L23" s="283"/>
      <c r="M23" s="284"/>
      <c r="N23" s="354"/>
      <c r="O23" s="354"/>
      <c r="P23" s="354"/>
      <c r="Q23" s="354"/>
      <c r="R23" s="354"/>
      <c r="S23" s="261"/>
      <c r="T23" s="261"/>
      <c r="U23" s="261"/>
    </row>
    <row r="24" spans="1:21" s="289" customFormat="1" ht="24" customHeight="1" x14ac:dyDescent="0.25">
      <c r="A24" s="285"/>
      <c r="B24" s="286"/>
      <c r="C24" s="287"/>
      <c r="D24" s="287"/>
      <c r="E24" s="287"/>
      <c r="F24" s="749" t="s">
        <v>67</v>
      </c>
      <c r="G24" s="749"/>
      <c r="H24" s="749" t="s">
        <v>195</v>
      </c>
      <c r="I24" s="749"/>
      <c r="J24" s="749" t="s">
        <v>114</v>
      </c>
      <c r="K24" s="749"/>
      <c r="L24" s="750" t="s">
        <v>115</v>
      </c>
      <c r="M24" s="751"/>
      <c r="N24" s="357"/>
      <c r="O24" s="358"/>
      <c r="P24" s="358"/>
      <c r="Q24" s="358"/>
      <c r="R24" s="358"/>
      <c r="S24" s="288"/>
      <c r="T24" s="288"/>
      <c r="U24" s="288"/>
    </row>
    <row r="25" spans="1:21" s="260" customFormat="1" ht="51.75" customHeight="1" x14ac:dyDescent="0.2">
      <c r="A25" s="728" t="s">
        <v>112</v>
      </c>
      <c r="B25" s="290" t="s">
        <v>68</v>
      </c>
      <c r="C25" s="730" t="s">
        <v>138</v>
      </c>
      <c r="D25" s="731"/>
      <c r="E25" s="732"/>
      <c r="F25" s="733">
        <v>2.7000000000000001E-3</v>
      </c>
      <c r="G25" s="734"/>
      <c r="H25" s="733">
        <v>-0.05</v>
      </c>
      <c r="I25" s="734"/>
      <c r="J25" s="735">
        <f>J22</f>
        <v>0.10398181818181823</v>
      </c>
      <c r="K25" s="736"/>
      <c r="L25" s="737" t="str">
        <f>IF(N22=1,IF(AND(H25&lt;&gt;"",J25&lt;&gt;""),IF(J25&gt;=H25,"Submeta cumprida","Submeta não cumprida"),""),"")</f>
        <v>Submeta cumprida</v>
      </c>
      <c r="M25" s="762"/>
      <c r="N25" s="359">
        <f>IF(L25="Submeta cumprida",1,0)</f>
        <v>1</v>
      </c>
      <c r="O25" s="354"/>
      <c r="P25" s="354"/>
      <c r="Q25" s="354"/>
      <c r="R25" s="354"/>
      <c r="S25" s="261"/>
      <c r="T25" s="261"/>
      <c r="U25" s="261"/>
    </row>
    <row r="26" spans="1:21" s="260" customFormat="1" ht="51.75" customHeight="1" x14ac:dyDescent="0.2">
      <c r="A26" s="729"/>
      <c r="B26" s="291" t="s">
        <v>69</v>
      </c>
      <c r="C26" s="739" t="s">
        <v>139</v>
      </c>
      <c r="D26" s="740"/>
      <c r="E26" s="741"/>
      <c r="F26" s="742">
        <v>0.02</v>
      </c>
      <c r="G26" s="743"/>
      <c r="H26" s="742">
        <v>-0.05</v>
      </c>
      <c r="I26" s="743"/>
      <c r="J26" s="744">
        <f>M22</f>
        <v>0.25303030303030338</v>
      </c>
      <c r="K26" s="745"/>
      <c r="L26" s="719" t="str">
        <f>IF(N22=1,IF(AND(H26&lt;&gt;"",J26&lt;&gt;""),IF(J26&gt;=H26,"Submeta cumprida","Submeta não cumprida"),""),"")</f>
        <v>Submeta cumprida</v>
      </c>
      <c r="M26" s="752"/>
      <c r="N26" s="359">
        <f>IF(L26="Submeta cumprida",1,0)</f>
        <v>1</v>
      </c>
      <c r="O26" s="354"/>
      <c r="P26" s="354"/>
      <c r="Q26" s="354"/>
      <c r="R26" s="354"/>
      <c r="S26" s="261"/>
      <c r="T26" s="261"/>
      <c r="U26" s="261"/>
    </row>
    <row r="27" spans="1:21" s="260" customFormat="1" ht="24" customHeight="1" x14ac:dyDescent="0.2">
      <c r="A27" s="721" t="str">
        <f>IF(H25&lt;&gt;"","Para obter sucesso na Prova 2 é necessário cumprir as submetas     A","")</f>
        <v>Para obter sucesso na Prova 2 é necessário cumprir as submetas     A</v>
      </c>
      <c r="B27" s="722"/>
      <c r="C27" s="722"/>
      <c r="D27" s="722"/>
      <c r="E27" s="722"/>
      <c r="F27" s="292" t="str">
        <f>IF(F25&lt;&gt;"",IF(F25&lt;-0.05,"ou","e"),"")</f>
        <v>e</v>
      </c>
      <c r="G27" s="293" t="str">
        <f>IF(H25&lt;&gt;"","B","")</f>
        <v>B</v>
      </c>
      <c r="H27" s="723" t="str">
        <f>IF(N22=1,IF(H25&lt;&gt;"",IF(N27=1,"Foi alcançado sucesso na Prova 2","Não foi alcançado sucesso na Prova 2"),""),"")</f>
        <v>Foi alcançado sucesso na Prova 2</v>
      </c>
      <c r="I27" s="724"/>
      <c r="J27" s="724"/>
      <c r="K27" s="724"/>
      <c r="L27" s="724"/>
      <c r="M27" s="725"/>
      <c r="N27" s="354">
        <f>IF(F27&lt;&gt;"",IF(F27="ou",IF(OR(N25=1,N26=1),1,0),0)+IF(F27="e",IF(AND(N25=1,N26=1),1,0),0),"")</f>
        <v>1</v>
      </c>
      <c r="O27" s="354">
        <f>SUM(C22:G22)</f>
        <v>132</v>
      </c>
      <c r="P27" s="354"/>
      <c r="Q27" s="354"/>
      <c r="R27" s="354"/>
      <c r="S27" s="261"/>
      <c r="T27" s="261"/>
      <c r="U27" s="261"/>
    </row>
    <row r="28" spans="1:21" ht="9" customHeight="1" x14ac:dyDescent="0.25"/>
    <row r="29" spans="1:21" ht="30" customHeight="1" x14ac:dyDescent="0.25">
      <c r="A29" s="295" t="s">
        <v>315</v>
      </c>
      <c r="B29" s="763" t="str">
        <f>IF(OR(C35&lt;&gt;""),"Português - 12.º Ano (Provas 239 e 639)","")</f>
        <v>Português - 12.º Ano (Provas 239 e 639)</v>
      </c>
      <c r="C29" s="764"/>
      <c r="D29" s="764"/>
      <c r="E29" s="764"/>
      <c r="F29" s="764"/>
      <c r="G29" s="764"/>
      <c r="H29" s="764"/>
      <c r="I29" s="764"/>
      <c r="J29" s="764"/>
      <c r="K29" s="764"/>
      <c r="L29" s="755"/>
      <c r="M29" s="756"/>
    </row>
    <row r="30" spans="1:21" s="260" customFormat="1" ht="19.5" customHeight="1" x14ac:dyDescent="0.2">
      <c r="A30" s="757"/>
      <c r="B30" s="758"/>
      <c r="C30" s="757" t="s">
        <v>73</v>
      </c>
      <c r="D30" s="759"/>
      <c r="E30" s="757" t="s">
        <v>62</v>
      </c>
      <c r="F30" s="760"/>
      <c r="G30" s="761"/>
      <c r="H30" s="757" t="s">
        <v>71</v>
      </c>
      <c r="I30" s="760"/>
      <c r="J30" s="761"/>
      <c r="K30" s="277"/>
      <c r="L30" s="296"/>
      <c r="M30" s="297"/>
      <c r="N30" s="354"/>
      <c r="O30" s="354"/>
      <c r="P30" s="354"/>
      <c r="Q30" s="354"/>
      <c r="R30" s="354"/>
      <c r="S30" s="261"/>
      <c r="T30" s="261"/>
      <c r="U30" s="261"/>
    </row>
    <row r="31" spans="1:21" s="268" customFormat="1" ht="74.25" customHeight="1" x14ac:dyDescent="0.2">
      <c r="A31" s="746" t="s">
        <v>63</v>
      </c>
      <c r="B31" s="747"/>
      <c r="C31" s="265" t="s">
        <v>74</v>
      </c>
      <c r="D31" s="265" t="s">
        <v>75</v>
      </c>
      <c r="E31" s="265" t="s">
        <v>64</v>
      </c>
      <c r="F31" s="265" t="s">
        <v>65</v>
      </c>
      <c r="G31" s="266" t="s">
        <v>66</v>
      </c>
      <c r="H31" s="265" t="s">
        <v>64</v>
      </c>
      <c r="I31" s="265" t="s">
        <v>65</v>
      </c>
      <c r="J31" s="266" t="s">
        <v>66</v>
      </c>
      <c r="K31" s="298"/>
      <c r="L31" s="299"/>
      <c r="M31" s="300"/>
      <c r="N31" s="356"/>
      <c r="O31" s="356"/>
      <c r="P31" s="356"/>
      <c r="Q31" s="356"/>
      <c r="R31" s="356"/>
      <c r="S31" s="267"/>
      <c r="T31" s="267"/>
      <c r="U31" s="267"/>
    </row>
    <row r="32" spans="1:21" s="260" customFormat="1" ht="18" customHeight="1" x14ac:dyDescent="0.2">
      <c r="A32" s="748" t="s">
        <v>204</v>
      </c>
      <c r="B32" s="623"/>
      <c r="C32" s="388">
        <f>IF('3_Av Ext'!H47&lt;&gt;"",'3_Av Ext'!H47,"")</f>
        <v>12</v>
      </c>
      <c r="D32" s="388">
        <f>IF('3_Av Ext'!F47&lt;&gt;"",'3_Av Ext'!F47,"")</f>
        <v>4</v>
      </c>
      <c r="E32" s="301">
        <f>IF(SUM(C32:D32)&lt;&gt;0,C32/SUM(C32:D32),"")</f>
        <v>0.75</v>
      </c>
      <c r="F32" s="302">
        <v>0.67120000000000002</v>
      </c>
      <c r="G32" s="303">
        <f>IF(E32&lt;&gt;"",E32-F32,"")</f>
        <v>7.8799999999999981E-2</v>
      </c>
      <c r="H32" s="364">
        <v>11.09</v>
      </c>
      <c r="I32" s="304">
        <v>10.68</v>
      </c>
      <c r="J32" s="305">
        <f>IF(H32&lt;&gt;"",H32-I32,"")</f>
        <v>0.41000000000000014</v>
      </c>
      <c r="K32" s="306"/>
      <c r="L32" s="307"/>
      <c r="M32" s="308"/>
      <c r="N32" s="354">
        <f>IF(AND(COUNT(C32:D32)&lt;&gt;0,F32&lt;&gt;"",COUNT(H32:I32)&lt;&gt;0),1,0)</f>
        <v>1</v>
      </c>
      <c r="O32" s="354"/>
      <c r="P32" s="354"/>
      <c r="Q32" s="354"/>
      <c r="R32" s="354"/>
      <c r="S32" s="261"/>
      <c r="T32" s="261"/>
      <c r="U32" s="261"/>
    </row>
    <row r="33" spans="1:21" s="260" customFormat="1" ht="12" customHeight="1" x14ac:dyDescent="0.2">
      <c r="A33" s="277"/>
      <c r="B33" s="278"/>
      <c r="C33" s="294" t="s">
        <v>76</v>
      </c>
      <c r="D33" s="279"/>
      <c r="E33" s="279"/>
      <c r="F33" s="279"/>
      <c r="G33" s="279"/>
      <c r="H33" s="280"/>
      <c r="I33" s="281"/>
      <c r="J33" s="280"/>
      <c r="K33" s="282"/>
      <c r="L33" s="283"/>
      <c r="M33" s="284"/>
      <c r="N33" s="354"/>
      <c r="O33" s="354"/>
      <c r="P33" s="354"/>
      <c r="Q33" s="354"/>
      <c r="R33" s="354"/>
      <c r="S33" s="261"/>
      <c r="T33" s="261"/>
      <c r="U33" s="261"/>
    </row>
    <row r="34" spans="1:21" s="289" customFormat="1" ht="24" customHeight="1" x14ac:dyDescent="0.25">
      <c r="A34" s="285"/>
      <c r="B34" s="286"/>
      <c r="C34" s="287"/>
      <c r="D34" s="287"/>
      <c r="E34" s="287"/>
      <c r="F34" s="749" t="s">
        <v>67</v>
      </c>
      <c r="G34" s="749"/>
      <c r="H34" s="749" t="s">
        <v>195</v>
      </c>
      <c r="I34" s="749"/>
      <c r="J34" s="749" t="s">
        <v>114</v>
      </c>
      <c r="K34" s="749"/>
      <c r="L34" s="750" t="s">
        <v>115</v>
      </c>
      <c r="M34" s="751"/>
      <c r="N34" s="357"/>
      <c r="O34" s="358"/>
      <c r="P34" s="358"/>
      <c r="Q34" s="358"/>
      <c r="R34" s="358"/>
      <c r="S34" s="288"/>
      <c r="T34" s="288"/>
      <c r="U34" s="288"/>
    </row>
    <row r="35" spans="1:21" s="260" customFormat="1" ht="51.75" customHeight="1" x14ac:dyDescent="0.2">
      <c r="A35" s="728" t="s">
        <v>112</v>
      </c>
      <c r="B35" s="290" t="s">
        <v>68</v>
      </c>
      <c r="C35" s="730" t="s">
        <v>138</v>
      </c>
      <c r="D35" s="731"/>
      <c r="E35" s="732"/>
      <c r="F35" s="733">
        <v>4.4600000000000001E-2</v>
      </c>
      <c r="G35" s="734"/>
      <c r="H35" s="733">
        <v>-0.05</v>
      </c>
      <c r="I35" s="734"/>
      <c r="J35" s="735">
        <f>G32</f>
        <v>7.8799999999999981E-2</v>
      </c>
      <c r="K35" s="736"/>
      <c r="L35" s="737" t="str">
        <f>IF(N32=1,IF(AND(H35&lt;&gt;"",J35&lt;&gt;""),IF(J35&gt;=H35,"Submeta cumprida","Submeta não cumprida"),""),"")</f>
        <v>Submeta cumprida</v>
      </c>
      <c r="M35" s="762"/>
      <c r="N35" s="359">
        <f>IF(L35="Submeta cumprida",1,0)</f>
        <v>1</v>
      </c>
      <c r="O35" s="354"/>
      <c r="P35" s="354"/>
      <c r="Q35" s="354"/>
      <c r="R35" s="354"/>
      <c r="S35" s="261"/>
      <c r="T35" s="261"/>
      <c r="U35" s="261"/>
    </row>
    <row r="36" spans="1:21" s="260" customFormat="1" ht="51.75" customHeight="1" x14ac:dyDescent="0.2">
      <c r="A36" s="729"/>
      <c r="B36" s="291" t="s">
        <v>69</v>
      </c>
      <c r="C36" s="739" t="s">
        <v>141</v>
      </c>
      <c r="D36" s="740"/>
      <c r="E36" s="741"/>
      <c r="F36" s="742">
        <v>0.42</v>
      </c>
      <c r="G36" s="743"/>
      <c r="H36" s="742">
        <v>-0.25</v>
      </c>
      <c r="I36" s="743"/>
      <c r="J36" s="744">
        <f>J32</f>
        <v>0.41000000000000014</v>
      </c>
      <c r="K36" s="745"/>
      <c r="L36" s="719" t="str">
        <f>IF(N32=1,IF(AND(H36&lt;&gt;"",J36&lt;&gt;""),IF(J36&gt;=H36,"Submeta cumprida","Submeta não cumprida"),""),"")</f>
        <v>Submeta cumprida</v>
      </c>
      <c r="M36" s="752"/>
      <c r="N36" s="359">
        <f>IF(L36="Submeta cumprida",1,0)</f>
        <v>1</v>
      </c>
      <c r="O36" s="354"/>
      <c r="P36" s="354"/>
      <c r="Q36" s="354"/>
      <c r="R36" s="354"/>
      <c r="S36" s="261"/>
      <c r="T36" s="261"/>
      <c r="U36" s="261"/>
    </row>
    <row r="37" spans="1:21" s="260" customFormat="1" ht="24" customHeight="1" x14ac:dyDescent="0.2">
      <c r="A37" s="721" t="str">
        <f>IF(H35&lt;&gt;"","Para obter sucesso na Prova 3 é necessário cumprir as submetas     A","")</f>
        <v>Para obter sucesso na Prova 3 é necessário cumprir as submetas     A</v>
      </c>
      <c r="B37" s="722"/>
      <c r="C37" s="722"/>
      <c r="D37" s="722"/>
      <c r="E37" s="722"/>
      <c r="F37" s="292" t="str">
        <f>IF(F35&lt;&gt;"",IF(F35&lt;-0.05,"ou","e"),"")</f>
        <v>e</v>
      </c>
      <c r="G37" s="293" t="str">
        <f>IF(H35&lt;&gt;"","B","")</f>
        <v>B</v>
      </c>
      <c r="H37" s="723" t="str">
        <f>IF(N32=1,IF(H35&lt;&gt;"",IF(N37=1,"Foi alcançado sucesso na Prova 3","Não foi alcançado sucesso na Prova 3"),""),"")</f>
        <v>Foi alcançado sucesso na Prova 3</v>
      </c>
      <c r="I37" s="724"/>
      <c r="J37" s="724"/>
      <c r="K37" s="724"/>
      <c r="L37" s="724"/>
      <c r="M37" s="725"/>
      <c r="N37" s="354">
        <f>IF(F37&lt;&gt;"",IF(F37="ou",IF(OR(N35=1,N36=1),1,0),0)+IF(F37="e",IF(AND(N35=1,N36=1),1,0),0),"")</f>
        <v>1</v>
      </c>
      <c r="O37" s="389">
        <f>SUM(C32:D32)</f>
        <v>16</v>
      </c>
      <c r="P37" s="354"/>
      <c r="Q37" s="354"/>
      <c r="R37" s="354"/>
      <c r="S37" s="261"/>
      <c r="T37" s="261"/>
      <c r="U37" s="261"/>
    </row>
    <row r="38" spans="1:21" ht="9" customHeight="1" x14ac:dyDescent="0.25"/>
    <row r="39" spans="1:21" ht="30" customHeight="1" x14ac:dyDescent="0.25">
      <c r="A39" s="309" t="s">
        <v>316</v>
      </c>
      <c r="B39" s="753" t="s">
        <v>194</v>
      </c>
      <c r="C39" s="754"/>
      <c r="D39" s="754"/>
      <c r="E39" s="754"/>
      <c r="F39" s="754"/>
      <c r="G39" s="754"/>
      <c r="H39" s="754"/>
      <c r="I39" s="754"/>
      <c r="J39" s="754"/>
      <c r="K39" s="754"/>
      <c r="L39" s="755" t="str">
        <f>B39</f>
        <v>Matemática A - 12.º Ano (Prova 635)</v>
      </c>
      <c r="M39" s="756"/>
    </row>
    <row r="40" spans="1:21" s="260" customFormat="1" ht="19.5" customHeight="1" x14ac:dyDescent="0.2">
      <c r="A40" s="757"/>
      <c r="B40" s="758"/>
      <c r="C40" s="757" t="s">
        <v>73</v>
      </c>
      <c r="D40" s="759"/>
      <c r="E40" s="757" t="s">
        <v>62</v>
      </c>
      <c r="F40" s="760"/>
      <c r="G40" s="761"/>
      <c r="H40" s="757" t="s">
        <v>71</v>
      </c>
      <c r="I40" s="760"/>
      <c r="J40" s="761"/>
      <c r="K40" s="277"/>
      <c r="L40" s="296"/>
      <c r="M40" s="297"/>
      <c r="N40" s="354"/>
      <c r="O40" s="354"/>
      <c r="P40" s="354"/>
      <c r="Q40" s="354"/>
      <c r="R40" s="354"/>
      <c r="S40" s="261"/>
      <c r="T40" s="261"/>
      <c r="U40" s="261"/>
    </row>
    <row r="41" spans="1:21" s="268" customFormat="1" ht="74.25" customHeight="1" x14ac:dyDescent="0.2">
      <c r="A41" s="746" t="s">
        <v>63</v>
      </c>
      <c r="B41" s="747"/>
      <c r="C41" s="265" t="s">
        <v>74</v>
      </c>
      <c r="D41" s="265" t="s">
        <v>75</v>
      </c>
      <c r="E41" s="265" t="s">
        <v>64</v>
      </c>
      <c r="F41" s="265" t="s">
        <v>65</v>
      </c>
      <c r="G41" s="266" t="s">
        <v>66</v>
      </c>
      <c r="H41" s="265" t="s">
        <v>64</v>
      </c>
      <c r="I41" s="265" t="s">
        <v>65</v>
      </c>
      <c r="J41" s="266" t="s">
        <v>66</v>
      </c>
      <c r="K41" s="298"/>
      <c r="L41" s="299"/>
      <c r="M41" s="300"/>
      <c r="N41" s="356"/>
      <c r="O41" s="356"/>
      <c r="P41" s="356"/>
      <c r="Q41" s="356"/>
      <c r="R41" s="356"/>
      <c r="S41" s="267"/>
      <c r="T41" s="267"/>
      <c r="U41" s="267"/>
    </row>
    <row r="42" spans="1:21" s="260" customFormat="1" ht="18" customHeight="1" x14ac:dyDescent="0.2">
      <c r="A42" s="748" t="s">
        <v>204</v>
      </c>
      <c r="B42" s="623"/>
      <c r="C42" s="269">
        <v>8</v>
      </c>
      <c r="D42" s="269">
        <v>8</v>
      </c>
      <c r="E42" s="301">
        <f>IF(SUM(C42:D42)&lt;&gt;0,C42/SUM(C42:D42),"")</f>
        <v>0.5</v>
      </c>
      <c r="F42" s="302">
        <v>0.62839999999999996</v>
      </c>
      <c r="G42" s="303">
        <f>IF(E42&lt;&gt;"",E42-F42,"")</f>
        <v>-0.12839999999999996</v>
      </c>
      <c r="H42" s="364">
        <v>10.74</v>
      </c>
      <c r="I42" s="304">
        <v>10.93</v>
      </c>
      <c r="J42" s="305">
        <f>IF(H42&lt;&gt;"",H42-I42,"")</f>
        <v>-0.1899999999999995</v>
      </c>
      <c r="K42" s="306"/>
      <c r="L42" s="307"/>
      <c r="M42" s="308"/>
      <c r="N42" s="354">
        <f>IF(AND(COUNT(C42:D42)&lt;&gt;0,F42&lt;&gt;"",COUNT(H42:I42)&lt;&gt;0),1,0)</f>
        <v>1</v>
      </c>
      <c r="O42" s="354"/>
      <c r="P42" s="354"/>
      <c r="Q42" s="354"/>
      <c r="R42" s="354"/>
      <c r="S42" s="261"/>
      <c r="T42" s="261"/>
      <c r="U42" s="261"/>
    </row>
    <row r="43" spans="1:21" s="260" customFormat="1" ht="12" customHeight="1" x14ac:dyDescent="0.2">
      <c r="A43" s="277"/>
      <c r="B43" s="278"/>
      <c r="C43" s="294" t="s">
        <v>76</v>
      </c>
      <c r="D43" s="279"/>
      <c r="E43" s="279"/>
      <c r="F43" s="279"/>
      <c r="G43" s="279"/>
      <c r="H43" s="280"/>
      <c r="I43" s="281"/>
      <c r="J43" s="280"/>
      <c r="K43" s="282"/>
      <c r="L43" s="283"/>
      <c r="M43" s="284"/>
      <c r="N43" s="354"/>
      <c r="O43" s="354"/>
      <c r="P43" s="354"/>
      <c r="Q43" s="354"/>
      <c r="R43" s="354"/>
      <c r="S43" s="261"/>
      <c r="T43" s="261"/>
      <c r="U43" s="261"/>
    </row>
    <row r="44" spans="1:21" s="289" customFormat="1" ht="24" customHeight="1" x14ac:dyDescent="0.25">
      <c r="A44" s="285"/>
      <c r="B44" s="286"/>
      <c r="C44" s="287"/>
      <c r="D44" s="287"/>
      <c r="E44" s="287"/>
      <c r="F44" s="749" t="s">
        <v>67</v>
      </c>
      <c r="G44" s="749"/>
      <c r="H44" s="749" t="s">
        <v>195</v>
      </c>
      <c r="I44" s="749"/>
      <c r="J44" s="749" t="s">
        <v>114</v>
      </c>
      <c r="K44" s="749"/>
      <c r="L44" s="750" t="s">
        <v>115</v>
      </c>
      <c r="M44" s="751"/>
      <c r="N44" s="357"/>
      <c r="O44" s="358"/>
      <c r="P44" s="358"/>
      <c r="Q44" s="358"/>
      <c r="R44" s="358"/>
      <c r="S44" s="288"/>
      <c r="T44" s="288"/>
      <c r="U44" s="288"/>
    </row>
    <row r="45" spans="1:21" s="260" customFormat="1" ht="51.75" customHeight="1" x14ac:dyDescent="0.2">
      <c r="A45" s="728" t="s">
        <v>112</v>
      </c>
      <c r="B45" s="290" t="s">
        <v>68</v>
      </c>
      <c r="C45" s="730" t="s">
        <v>140</v>
      </c>
      <c r="D45" s="731"/>
      <c r="E45" s="732"/>
      <c r="F45" s="733">
        <v>-0.106</v>
      </c>
      <c r="G45" s="734"/>
      <c r="H45" s="733">
        <v>-5.5999999999999994E-2</v>
      </c>
      <c r="I45" s="734"/>
      <c r="J45" s="735">
        <f>G42</f>
        <v>-0.12839999999999996</v>
      </c>
      <c r="K45" s="736"/>
      <c r="L45" s="737" t="str">
        <f>IF(N42=1,IF(AND(H45&lt;&gt;"",J45&lt;&gt;""),IF(J45&gt;=H45,"Submeta cumprida","Submeta não cumprida"),""),"")</f>
        <v>Submeta não cumprida</v>
      </c>
      <c r="M45" s="738"/>
      <c r="N45" s="359">
        <f>IF(L45="Submeta cumprida",1,0)</f>
        <v>0</v>
      </c>
      <c r="O45" s="354"/>
      <c r="P45" s="354"/>
      <c r="Q45" s="354"/>
      <c r="R45" s="354"/>
      <c r="S45" s="261"/>
      <c r="T45" s="261"/>
      <c r="U45" s="261"/>
    </row>
    <row r="46" spans="1:21" s="260" customFormat="1" ht="51.75" customHeight="1" x14ac:dyDescent="0.2">
      <c r="A46" s="729"/>
      <c r="B46" s="291" t="s">
        <v>69</v>
      </c>
      <c r="C46" s="739" t="s">
        <v>142</v>
      </c>
      <c r="D46" s="740"/>
      <c r="E46" s="741"/>
      <c r="F46" s="742">
        <v>-1.04</v>
      </c>
      <c r="G46" s="743"/>
      <c r="H46" s="742">
        <v>-0.54</v>
      </c>
      <c r="I46" s="743"/>
      <c r="J46" s="744">
        <f>J42</f>
        <v>-0.1899999999999995</v>
      </c>
      <c r="K46" s="745"/>
      <c r="L46" s="719" t="str">
        <f>IF(N42=1,IF(AND(H46&lt;&gt;"",J46&lt;&gt;""),IF(J46&gt;=H46,"Submeta cumprida","Submeta não cumprida"),""),"")</f>
        <v>Submeta cumprida</v>
      </c>
      <c r="M46" s="720"/>
      <c r="N46" s="359">
        <f>IF(L46="Submeta cumprida",1,0)</f>
        <v>1</v>
      </c>
      <c r="O46" s="354"/>
      <c r="P46" s="354"/>
      <c r="Q46" s="354"/>
      <c r="R46" s="354"/>
      <c r="S46" s="261"/>
      <c r="T46" s="261"/>
      <c r="U46" s="261"/>
    </row>
    <row r="47" spans="1:21" s="260" customFormat="1" ht="24" customHeight="1" x14ac:dyDescent="0.2">
      <c r="A47" s="721" t="str">
        <f>IF(H45&lt;&gt;"","Para obter sucesso na Prova 4 é necessário cumprir as submetas     A","")</f>
        <v>Para obter sucesso na Prova 4 é necessário cumprir as submetas     A</v>
      </c>
      <c r="B47" s="722"/>
      <c r="C47" s="722"/>
      <c r="D47" s="722"/>
      <c r="E47" s="722"/>
      <c r="F47" s="292" t="str">
        <f>IF(F45&lt;&gt;"",IF(F45&lt;-0.05,"ou","e"),"")</f>
        <v>ou</v>
      </c>
      <c r="G47" s="293" t="str">
        <f>IF(H45&lt;&gt;"","B","")</f>
        <v>B</v>
      </c>
      <c r="H47" s="723" t="str">
        <f>IF(N42=1,IF(H45&lt;&gt;"",IF(N47=1,"Foi alcançado sucesso na Prova 4","Não foi alcançado sucesso na Prova 4"),""),"")</f>
        <v>Foi alcançado sucesso na Prova 4</v>
      </c>
      <c r="I47" s="724"/>
      <c r="J47" s="724"/>
      <c r="K47" s="724"/>
      <c r="L47" s="724"/>
      <c r="M47" s="725"/>
      <c r="N47" s="354">
        <f>IF(F47&lt;&gt;"",IF(F47="ou",IF(OR(N45=1,N46=1),1,0),0)+IF(F47="e",IF(AND(N45=1,N46=1),1,0),0),"")</f>
        <v>1</v>
      </c>
      <c r="O47" s="354">
        <f>SUM(C42:D42)</f>
        <v>16</v>
      </c>
      <c r="P47" s="354">
        <f>IF(AND(SUM(O17,O27,O37,O47)&gt;0,OR(N17&lt;&gt;"",N27&lt;&gt;"",N37&lt;&gt;"",N47&lt;&gt;"")),(IF(N17&lt;&gt;"",N17*O17,0)+IF(N27&lt;&gt;"",N27*O27,0)+IF(N37&lt;&gt;"",N37*O37,0)+IF(N47&lt;&gt;"",N47*O47,0))/SUM(O17,O27,O37,O47),"")</f>
        <v>0.55405405405405406</v>
      </c>
      <c r="Q47" s="354"/>
      <c r="R47" s="354"/>
      <c r="S47" s="261"/>
      <c r="T47" s="261"/>
      <c r="U47" s="261"/>
    </row>
    <row r="48" spans="1:21" ht="15" customHeight="1" x14ac:dyDescent="0.25"/>
    <row r="49" spans="1:23" ht="36.75" customHeight="1" x14ac:dyDescent="0.35">
      <c r="A49" s="726" t="s">
        <v>231</v>
      </c>
      <c r="B49" s="726"/>
      <c r="C49" s="726"/>
      <c r="D49" s="726"/>
      <c r="E49" s="726"/>
      <c r="F49" s="726"/>
      <c r="G49" s="726"/>
      <c r="H49" s="726"/>
      <c r="I49" s="726"/>
      <c r="J49" s="726"/>
      <c r="K49" s="726"/>
      <c r="L49" s="310">
        <f>IF(OR(H47&lt;&gt;"",H37&lt;&gt;"",H27&lt;&gt;"",H17&lt;&gt;""),ROUND(P47,2),"")</f>
        <v>0.55000000000000004</v>
      </c>
      <c r="M49" s="311"/>
    </row>
    <row r="50" spans="1:23" ht="15" customHeight="1" x14ac:dyDescent="0.25"/>
    <row r="51" spans="1:23" ht="36.75" customHeight="1" x14ac:dyDescent="0.25">
      <c r="A51" s="727" t="s">
        <v>77</v>
      </c>
      <c r="B51" s="631"/>
      <c r="C51" s="631"/>
      <c r="D51" s="631"/>
      <c r="E51" s="631"/>
      <c r="F51" s="631"/>
      <c r="G51" s="631"/>
      <c r="H51" s="631"/>
      <c r="I51" s="631"/>
      <c r="J51" s="631"/>
      <c r="K51" s="631"/>
      <c r="L51" s="631"/>
      <c r="M51" s="631"/>
    </row>
    <row r="52" spans="1:23" x14ac:dyDescent="0.25">
      <c r="I52" s="260"/>
      <c r="J52" s="260"/>
      <c r="K52" s="260"/>
      <c r="L52" s="260"/>
      <c r="M52" s="260"/>
    </row>
    <row r="53" spans="1:23" ht="30" customHeight="1" x14ac:dyDescent="0.25">
      <c r="A53" s="709" t="s">
        <v>78</v>
      </c>
      <c r="B53" s="710"/>
      <c r="C53" s="710"/>
      <c r="D53" s="710"/>
      <c r="E53" s="710"/>
      <c r="F53" s="710"/>
      <c r="G53" s="710"/>
      <c r="H53" s="710"/>
      <c r="I53" s="710"/>
      <c r="J53" s="710"/>
      <c r="K53" s="710"/>
      <c r="L53" s="710"/>
      <c r="M53" s="711"/>
    </row>
    <row r="54" spans="1:23" s="268" customFormat="1" ht="74.25" customHeight="1" x14ac:dyDescent="0.2">
      <c r="A54" s="697" t="s">
        <v>63</v>
      </c>
      <c r="B54" s="698"/>
      <c r="C54" s="312" t="s">
        <v>312</v>
      </c>
      <c r="D54" s="312" t="s">
        <v>79</v>
      </c>
      <c r="E54" s="312" t="s">
        <v>80</v>
      </c>
      <c r="F54" s="312" t="s">
        <v>81</v>
      </c>
      <c r="G54" s="312" t="s">
        <v>82</v>
      </c>
      <c r="H54" s="312" t="s">
        <v>83</v>
      </c>
      <c r="I54" s="599"/>
      <c r="J54" s="600"/>
      <c r="K54" s="600"/>
      <c r="L54" s="600"/>
      <c r="M54" s="601"/>
      <c r="N54" s="356"/>
      <c r="O54" s="356"/>
      <c r="P54" s="356"/>
      <c r="Q54" s="356"/>
      <c r="R54" s="356"/>
      <c r="S54" s="267"/>
      <c r="T54" s="267"/>
      <c r="U54" s="267"/>
      <c r="W54" s="313"/>
    </row>
    <row r="55" spans="1:23" s="260" customFormat="1" ht="18" customHeight="1" x14ac:dyDescent="0.2">
      <c r="A55" s="697" t="s">
        <v>204</v>
      </c>
      <c r="B55" s="698"/>
      <c r="C55" s="370">
        <f>IF('1_IAA'!C29+'1_IAA'!C31&gt;0,'1_IAA'!C29+'1_IAA'!C31,"")</f>
        <v>442</v>
      </c>
      <c r="D55" s="370">
        <f>IF(COUNT('1_IAA'!C29,'1_IAA'!C31)&gt;0,'1_IAA'!E29+'1_IAA'!E31,"")</f>
        <v>30</v>
      </c>
      <c r="E55" s="314">
        <f>IF(AND(C55&lt;&gt;0,C55&lt;&gt;""),ROUND(D55/C55,4),"")</f>
        <v>6.7900000000000002E-2</v>
      </c>
      <c r="F55" s="370">
        <f>IF(COUNT('2_Av I'!V50:V53)&gt;0,SUM('2_Av I'!V50:V53),"")</f>
        <v>440</v>
      </c>
      <c r="G55" s="370">
        <f>IF(COUNT('2_Av I'!V50:V53)&gt;0,SUM('2_Av I'!W50:X53),"")</f>
        <v>344</v>
      </c>
      <c r="H55" s="315">
        <f>IF(AND(F55&lt;&gt;0,F55&lt;&gt;""),ROUND(G55/F55,4),"")</f>
        <v>0.78180000000000005</v>
      </c>
      <c r="I55" s="602"/>
      <c r="J55" s="603"/>
      <c r="K55" s="603"/>
      <c r="L55" s="603"/>
      <c r="M55" s="604"/>
      <c r="N55" s="354">
        <f>IF(AND(COUNT(C55:D55)&lt;&gt;0,COUNT(F55:G55)&lt;&gt;0),1,0)</f>
        <v>1</v>
      </c>
      <c r="O55" s="354"/>
      <c r="P55" s="354"/>
      <c r="Q55" s="354"/>
      <c r="R55" s="354"/>
      <c r="S55" s="261"/>
      <c r="T55" s="261"/>
      <c r="U55" s="261"/>
    </row>
    <row r="56" spans="1:23" s="260" customFormat="1" ht="21.75" customHeight="1" x14ac:dyDescent="0.2">
      <c r="A56" s="715" t="s">
        <v>318</v>
      </c>
      <c r="B56" s="716"/>
      <c r="C56" s="717"/>
      <c r="D56" s="717"/>
      <c r="E56" s="717"/>
      <c r="F56" s="717"/>
      <c r="G56" s="717"/>
      <c r="H56" s="717"/>
      <c r="I56" s="717"/>
      <c r="J56" s="717"/>
      <c r="K56" s="717"/>
      <c r="L56" s="717"/>
      <c r="M56" s="718"/>
      <c r="N56" s="354"/>
      <c r="O56" s="354"/>
      <c r="P56" s="354"/>
      <c r="Q56" s="354"/>
      <c r="R56" s="354"/>
      <c r="S56" s="261"/>
      <c r="T56" s="261"/>
      <c r="U56" s="261"/>
    </row>
    <row r="57" spans="1:23" s="289" customFormat="1" ht="21.75" customHeight="1" x14ac:dyDescent="0.25">
      <c r="A57" s="712" t="s">
        <v>319</v>
      </c>
      <c r="B57" s="713"/>
      <c r="C57" s="713"/>
      <c r="D57" s="713"/>
      <c r="E57" s="316"/>
      <c r="F57" s="704" t="s">
        <v>67</v>
      </c>
      <c r="G57" s="705"/>
      <c r="H57" s="706" t="s">
        <v>195</v>
      </c>
      <c r="I57" s="706"/>
      <c r="J57" s="707" t="s">
        <v>114</v>
      </c>
      <c r="K57" s="707"/>
      <c r="L57" s="704" t="s">
        <v>115</v>
      </c>
      <c r="M57" s="708"/>
      <c r="N57" s="358"/>
      <c r="O57" s="358"/>
      <c r="P57" s="358"/>
      <c r="Q57" s="358"/>
      <c r="R57" s="358"/>
      <c r="S57" s="288"/>
      <c r="T57" s="288"/>
      <c r="U57" s="288"/>
    </row>
    <row r="58" spans="1:23" s="260" customFormat="1" ht="51.75" customHeight="1" x14ac:dyDescent="0.2">
      <c r="A58" s="679" t="s">
        <v>112</v>
      </c>
      <c r="B58" s="317" t="s">
        <v>68</v>
      </c>
      <c r="C58" s="681" t="s">
        <v>196</v>
      </c>
      <c r="D58" s="682"/>
      <c r="E58" s="683"/>
      <c r="F58" s="684">
        <v>5.8299999999999998E-2</v>
      </c>
      <c r="G58" s="685"/>
      <c r="H58" s="684">
        <v>7.4999999999999997E-2</v>
      </c>
      <c r="I58" s="685"/>
      <c r="J58" s="686">
        <f>E55</f>
        <v>6.7900000000000002E-2</v>
      </c>
      <c r="K58" s="687"/>
      <c r="L58" s="688" t="str">
        <f>IF(N55=1,IF(AND(H58&lt;&gt;"",J58&lt;&gt;""),IF(J58&lt;=H58,"Submeta cumprida","Submeta não cumprida"),""),"")</f>
        <v>Submeta cumprida</v>
      </c>
      <c r="M58" s="689"/>
      <c r="N58" s="359">
        <f>IF(L58="Submeta cumprida",1,0)</f>
        <v>1</v>
      </c>
      <c r="O58" s="354"/>
      <c r="P58" s="354"/>
      <c r="Q58" s="354"/>
      <c r="R58" s="354"/>
      <c r="S58" s="261"/>
      <c r="T58" s="261"/>
      <c r="U58" s="261"/>
    </row>
    <row r="59" spans="1:23" s="260" customFormat="1" ht="51.75" customHeight="1" x14ac:dyDescent="0.2">
      <c r="A59" s="680"/>
      <c r="B59" s="318" t="s">
        <v>69</v>
      </c>
      <c r="C59" s="690" t="s">
        <v>143</v>
      </c>
      <c r="D59" s="691"/>
      <c r="E59" s="692"/>
      <c r="F59" s="693">
        <v>0.77159999999999995</v>
      </c>
      <c r="G59" s="694"/>
      <c r="H59" s="693">
        <v>0.81159999999999999</v>
      </c>
      <c r="I59" s="694"/>
      <c r="J59" s="695">
        <f>H55</f>
        <v>0.78180000000000005</v>
      </c>
      <c r="K59" s="696"/>
      <c r="L59" s="669" t="str">
        <f>IF(N55=1,IF(AND(H59&lt;&gt;"",J59&lt;&gt;""),IF(J59&gt;=H59,"Submeta cumprida","Submeta não cumprida"),""),"")</f>
        <v>Submeta não cumprida</v>
      </c>
      <c r="M59" s="670"/>
      <c r="N59" s="359">
        <f>IF(L59="Submeta cumprida",1,0)</f>
        <v>0</v>
      </c>
      <c r="O59" s="354"/>
      <c r="P59" s="354"/>
      <c r="Q59" s="354"/>
      <c r="R59" s="354"/>
      <c r="S59" s="261"/>
      <c r="T59" s="261"/>
      <c r="U59" s="261"/>
    </row>
    <row r="60" spans="1:23" s="260" customFormat="1" ht="17.25" customHeight="1" x14ac:dyDescent="0.2">
      <c r="A60" s="671" t="s">
        <v>116</v>
      </c>
      <c r="B60" s="672"/>
      <c r="C60" s="672"/>
      <c r="D60" s="672"/>
      <c r="E60" s="672"/>
      <c r="F60" s="672"/>
      <c r="G60" s="673"/>
      <c r="H60" s="674" t="str">
        <f>IF(N55=1,IF(H58&lt;&gt;"",IF(N60=1,"Foi alcançado sucesso neste ciclo de ensino","Não foi alcançado sucesso neste ciclo de ensino"),""),"")</f>
        <v>Foi alcançado sucesso neste ciclo de ensino</v>
      </c>
      <c r="I60" s="675"/>
      <c r="J60" s="675"/>
      <c r="K60" s="675"/>
      <c r="L60" s="675"/>
      <c r="M60" s="676"/>
      <c r="N60" s="354">
        <f>IF(H58&lt;&gt;"",IF(OR(N58=1,N59=1),1,0),"")</f>
        <v>1</v>
      </c>
      <c r="O60" s="360">
        <f>C55</f>
        <v>442</v>
      </c>
      <c r="P60" s="354"/>
      <c r="Q60" s="354"/>
      <c r="R60" s="354"/>
      <c r="S60" s="261"/>
      <c r="T60" s="261"/>
      <c r="U60" s="261"/>
    </row>
    <row r="61" spans="1:23" ht="9" customHeight="1" x14ac:dyDescent="0.25">
      <c r="I61" s="260"/>
      <c r="J61" s="260"/>
      <c r="K61" s="260"/>
      <c r="L61" s="260"/>
      <c r="M61" s="260"/>
    </row>
    <row r="62" spans="1:23" ht="30" customHeight="1" x14ac:dyDescent="0.25">
      <c r="A62" s="709" t="s">
        <v>84</v>
      </c>
      <c r="B62" s="710"/>
      <c r="C62" s="710"/>
      <c r="D62" s="710"/>
      <c r="E62" s="710"/>
      <c r="F62" s="710"/>
      <c r="G62" s="710"/>
      <c r="H62" s="710"/>
      <c r="I62" s="710"/>
      <c r="J62" s="710"/>
      <c r="K62" s="710"/>
      <c r="L62" s="710"/>
      <c r="M62" s="711"/>
    </row>
    <row r="63" spans="1:23" s="268" customFormat="1" ht="74.25" customHeight="1" x14ac:dyDescent="0.2">
      <c r="A63" s="697" t="s">
        <v>63</v>
      </c>
      <c r="B63" s="698"/>
      <c r="C63" s="312" t="s">
        <v>312</v>
      </c>
      <c r="D63" s="312" t="s">
        <v>79</v>
      </c>
      <c r="E63" s="312" t="s">
        <v>80</v>
      </c>
      <c r="F63" s="312" t="s">
        <v>81</v>
      </c>
      <c r="G63" s="312" t="s">
        <v>82</v>
      </c>
      <c r="H63" s="312" t="s">
        <v>83</v>
      </c>
      <c r="I63" s="599"/>
      <c r="J63" s="600"/>
      <c r="K63" s="600"/>
      <c r="L63" s="600"/>
      <c r="M63" s="601"/>
      <c r="N63" s="356"/>
      <c r="O63" s="356"/>
      <c r="P63" s="356"/>
      <c r="Q63" s="356"/>
      <c r="R63" s="356"/>
      <c r="S63" s="267"/>
      <c r="T63" s="267"/>
      <c r="U63" s="267"/>
    </row>
    <row r="64" spans="1:23" s="260" customFormat="1" ht="18" customHeight="1" x14ac:dyDescent="0.2">
      <c r="A64" s="697" t="s">
        <v>204</v>
      </c>
      <c r="B64" s="698"/>
      <c r="C64" s="370">
        <f>IF('1_IAA'!C56+'1_IAA'!C58&gt;0,'1_IAA'!C56+'1_IAA'!C58,"")</f>
        <v>260</v>
      </c>
      <c r="D64" s="370">
        <f>IF(COUNT('1_IAA'!C56,'1_IAA'!C58)&gt;0,'1_IAA'!E56+'1_IAA'!E58,"")</f>
        <v>24</v>
      </c>
      <c r="E64" s="314">
        <f>IF(AND(C64&lt;&gt;0,C64&lt;&gt;""),ROUND(D64/C64,4),"")</f>
        <v>9.2299999999999993E-2</v>
      </c>
      <c r="F64" s="370">
        <f>IF(COUNT('2_Av I'!V54:V55)&gt;0,SUM('2_Av I'!V54:V55),"")</f>
        <v>253</v>
      </c>
      <c r="G64" s="370">
        <f>IF(COUNT('2_Av I'!V54:V55)&gt;0,SUM('2_Av I'!W54:X55),"")</f>
        <v>143</v>
      </c>
      <c r="H64" s="315">
        <f>IF(AND(F64&lt;&gt;0,F64&lt;&gt;""),ROUND(G64/F64,4),"")</f>
        <v>0.56520000000000004</v>
      </c>
      <c r="I64" s="602"/>
      <c r="J64" s="603"/>
      <c r="K64" s="603"/>
      <c r="L64" s="603"/>
      <c r="M64" s="604"/>
      <c r="N64" s="354">
        <f>IF(AND(COUNT(C64:D64)&lt;&gt;0,COUNT(F64:G64)&lt;&gt;0),1,0)</f>
        <v>1</v>
      </c>
      <c r="O64" s="354"/>
      <c r="P64" s="354"/>
      <c r="Q64" s="354"/>
      <c r="R64" s="354"/>
      <c r="S64" s="261"/>
      <c r="T64" s="261"/>
      <c r="U64" s="261"/>
    </row>
    <row r="65" spans="1:21" s="260" customFormat="1" ht="21.75" customHeight="1" x14ac:dyDescent="0.2">
      <c r="A65" s="699" t="s">
        <v>320</v>
      </c>
      <c r="B65" s="700"/>
      <c r="C65" s="700"/>
      <c r="D65" s="700"/>
      <c r="E65" s="700"/>
      <c r="F65" s="700"/>
      <c r="G65" s="700"/>
      <c r="H65" s="700"/>
      <c r="I65" s="700"/>
      <c r="J65" s="700"/>
      <c r="K65" s="700"/>
      <c r="L65" s="700"/>
      <c r="M65" s="701"/>
      <c r="N65" s="354"/>
      <c r="O65" s="354"/>
      <c r="P65" s="354"/>
      <c r="Q65" s="354"/>
      <c r="R65" s="354"/>
      <c r="S65" s="261"/>
      <c r="T65" s="261"/>
      <c r="U65" s="261"/>
    </row>
    <row r="66" spans="1:21" s="289" customFormat="1" ht="21.75" customHeight="1" x14ac:dyDescent="0.25">
      <c r="A66" s="712" t="s">
        <v>321</v>
      </c>
      <c r="B66" s="713"/>
      <c r="C66" s="713"/>
      <c r="D66" s="713"/>
      <c r="E66" s="316"/>
      <c r="F66" s="704" t="s">
        <v>67</v>
      </c>
      <c r="G66" s="705"/>
      <c r="H66" s="706" t="s">
        <v>195</v>
      </c>
      <c r="I66" s="706"/>
      <c r="J66" s="707" t="s">
        <v>114</v>
      </c>
      <c r="K66" s="707"/>
      <c r="L66" s="704" t="s">
        <v>115</v>
      </c>
      <c r="M66" s="708"/>
      <c r="N66" s="358"/>
      <c r="O66" s="358"/>
      <c r="P66" s="358"/>
      <c r="Q66" s="358"/>
      <c r="R66" s="358"/>
      <c r="S66" s="288"/>
      <c r="T66" s="288"/>
      <c r="U66" s="288"/>
    </row>
    <row r="67" spans="1:21" s="260" customFormat="1" ht="51.75" customHeight="1" x14ac:dyDescent="0.2">
      <c r="A67" s="714" t="s">
        <v>118</v>
      </c>
      <c r="B67" s="317" t="s">
        <v>68</v>
      </c>
      <c r="C67" s="681" t="s">
        <v>140</v>
      </c>
      <c r="D67" s="682"/>
      <c r="E67" s="683"/>
      <c r="F67" s="684">
        <v>0.11</v>
      </c>
      <c r="G67" s="685"/>
      <c r="H67" s="684">
        <v>0.06</v>
      </c>
      <c r="I67" s="685"/>
      <c r="J67" s="686">
        <f>E64</f>
        <v>9.2299999999999993E-2</v>
      </c>
      <c r="K67" s="687"/>
      <c r="L67" s="688" t="str">
        <f>IF(N64=1,IF(AND(H67&lt;&gt;"",J67&lt;&gt;""),IF(J67&lt;=H67,"Submeta cumprida","Submeta não cumprida"),""),"")</f>
        <v>Submeta não cumprida</v>
      </c>
      <c r="M67" s="689"/>
      <c r="N67" s="359">
        <f>IF(L67="Submeta cumprida",1,0)</f>
        <v>0</v>
      </c>
      <c r="O67" s="354"/>
      <c r="P67" s="354"/>
      <c r="Q67" s="354"/>
      <c r="R67" s="354"/>
      <c r="S67" s="261"/>
      <c r="T67" s="261"/>
      <c r="U67" s="261"/>
    </row>
    <row r="68" spans="1:21" s="260" customFormat="1" ht="51.75" customHeight="1" x14ac:dyDescent="0.2">
      <c r="A68" s="680"/>
      <c r="B68" s="318" t="s">
        <v>69</v>
      </c>
      <c r="C68" s="690" t="s">
        <v>143</v>
      </c>
      <c r="D68" s="691"/>
      <c r="E68" s="692"/>
      <c r="F68" s="693">
        <v>0.61880000000000002</v>
      </c>
      <c r="G68" s="694"/>
      <c r="H68" s="693">
        <v>0.65880000000000005</v>
      </c>
      <c r="I68" s="694"/>
      <c r="J68" s="695">
        <f>H64</f>
        <v>0.56520000000000004</v>
      </c>
      <c r="K68" s="696"/>
      <c r="L68" s="669" t="str">
        <f>IF(N64=1,IF(AND(H68&lt;&gt;"",J68&lt;&gt;""),IF(J68&gt;=H68,"Submeta cumprida","Submeta não cumprida"),""),"")</f>
        <v>Submeta não cumprida</v>
      </c>
      <c r="M68" s="670"/>
      <c r="N68" s="359">
        <f>IF(L68="Submeta cumprida",1,0)</f>
        <v>0</v>
      </c>
      <c r="O68" s="354"/>
      <c r="P68" s="354"/>
      <c r="Q68" s="354"/>
      <c r="R68" s="354"/>
      <c r="S68" s="261"/>
      <c r="T68" s="261"/>
      <c r="U68" s="261"/>
    </row>
    <row r="69" spans="1:21" s="260" customFormat="1" ht="17.25" customHeight="1" x14ac:dyDescent="0.2">
      <c r="A69" s="671" t="s">
        <v>116</v>
      </c>
      <c r="B69" s="672"/>
      <c r="C69" s="672"/>
      <c r="D69" s="672"/>
      <c r="E69" s="672"/>
      <c r="F69" s="672"/>
      <c r="G69" s="673"/>
      <c r="H69" s="674" t="str">
        <f>IF(N64=1,IF(H67&lt;&gt;"",IF(N69=1,"Foi alcançado sucesso neste ciclo de ensino","Não foi alcançado sucesso neste ciclo de ensino"),""),"")</f>
        <v>Não foi alcançado sucesso neste ciclo de ensino</v>
      </c>
      <c r="I69" s="675"/>
      <c r="J69" s="675"/>
      <c r="K69" s="675"/>
      <c r="L69" s="675"/>
      <c r="M69" s="676"/>
      <c r="N69" s="354">
        <f>IF(H67&lt;&gt;"",IF(OR(N67=1,N68=1),1,0),"")</f>
        <v>0</v>
      </c>
      <c r="O69" s="354">
        <f>C64</f>
        <v>260</v>
      </c>
      <c r="P69" s="354"/>
      <c r="Q69" s="354"/>
      <c r="R69" s="354"/>
      <c r="S69" s="261"/>
      <c r="T69" s="261"/>
      <c r="U69" s="261"/>
    </row>
    <row r="70" spans="1:21" ht="9" customHeight="1" x14ac:dyDescent="0.25">
      <c r="I70" s="260"/>
      <c r="J70" s="260"/>
      <c r="K70" s="260"/>
      <c r="L70" s="260"/>
      <c r="M70" s="260"/>
    </row>
    <row r="71" spans="1:21" ht="30" customHeight="1" x14ac:dyDescent="0.25">
      <c r="A71" s="709" t="s">
        <v>85</v>
      </c>
      <c r="B71" s="710"/>
      <c r="C71" s="710"/>
      <c r="D71" s="710"/>
      <c r="E71" s="710"/>
      <c r="F71" s="710"/>
      <c r="G71" s="710"/>
      <c r="H71" s="710"/>
      <c r="I71" s="710"/>
      <c r="J71" s="710"/>
      <c r="K71" s="710"/>
      <c r="L71" s="710"/>
      <c r="M71" s="711"/>
    </row>
    <row r="72" spans="1:21" s="268" customFormat="1" ht="74.25" customHeight="1" x14ac:dyDescent="0.2">
      <c r="A72" s="697" t="s">
        <v>63</v>
      </c>
      <c r="B72" s="698"/>
      <c r="C72" s="312" t="s">
        <v>312</v>
      </c>
      <c r="D72" s="312" t="s">
        <v>79</v>
      </c>
      <c r="E72" s="312" t="s">
        <v>80</v>
      </c>
      <c r="F72" s="312" t="s">
        <v>81</v>
      </c>
      <c r="G72" s="312" t="s">
        <v>82</v>
      </c>
      <c r="H72" s="312" t="s">
        <v>83</v>
      </c>
      <c r="I72" s="599"/>
      <c r="J72" s="600"/>
      <c r="K72" s="600"/>
      <c r="L72" s="600"/>
      <c r="M72" s="601"/>
      <c r="N72" s="356"/>
      <c r="O72" s="356"/>
      <c r="P72" s="356"/>
      <c r="Q72" s="356"/>
      <c r="R72" s="356"/>
      <c r="S72" s="267"/>
      <c r="T72" s="267"/>
      <c r="U72" s="267"/>
    </row>
    <row r="73" spans="1:21" s="260" customFormat="1" ht="18" customHeight="1" x14ac:dyDescent="0.2">
      <c r="A73" s="697" t="s">
        <v>204</v>
      </c>
      <c r="B73" s="698"/>
      <c r="C73" s="370">
        <f>IF('1_IAA'!C95+'1_IAA'!C97&gt;0,'1_IAA'!C95+'1_IAA'!C97,"")</f>
        <v>474</v>
      </c>
      <c r="D73" s="370">
        <f>IF(COUNT('1_IAA'!C95,'1_IAA'!C97)&gt;0,'1_IAA'!E95+'1_IAA'!E97,"")</f>
        <v>44</v>
      </c>
      <c r="E73" s="314">
        <f>IF(AND(C73&lt;&gt;0,C73&lt;&gt;""),ROUND(D73/C73,4),"")</f>
        <v>9.2799999999999994E-2</v>
      </c>
      <c r="F73" s="370">
        <f>IF(COUNT('2_Av I'!V56:V58)&gt;0,SUM('2_Av I'!V56:V58),"")</f>
        <v>490</v>
      </c>
      <c r="G73" s="370">
        <f>IF(COUNT('2_Av I'!V56:V58)&gt;0,SUM('2_Av I'!W56:X58),"")</f>
        <v>264</v>
      </c>
      <c r="H73" s="315">
        <f>IF(AND(F73&lt;&gt;0,F73&lt;&gt;""),ROUND(G73/F73,4),"")</f>
        <v>0.53879999999999995</v>
      </c>
      <c r="I73" s="602"/>
      <c r="J73" s="603"/>
      <c r="K73" s="603"/>
      <c r="L73" s="603"/>
      <c r="M73" s="604"/>
      <c r="N73" s="354">
        <f>IF(AND(COUNT(C73:D73)&lt;&gt;0,COUNT(F73:G73)&lt;&gt;0),1,0)</f>
        <v>1</v>
      </c>
      <c r="O73" s="354"/>
      <c r="P73" s="354"/>
      <c r="Q73" s="354"/>
      <c r="R73" s="354"/>
      <c r="S73" s="261"/>
      <c r="T73" s="261"/>
      <c r="U73" s="261"/>
    </row>
    <row r="74" spans="1:21" s="260" customFormat="1" ht="21.75" customHeight="1" x14ac:dyDescent="0.2">
      <c r="A74" s="699" t="s">
        <v>320</v>
      </c>
      <c r="B74" s="700"/>
      <c r="C74" s="700"/>
      <c r="D74" s="700"/>
      <c r="E74" s="700"/>
      <c r="F74" s="700"/>
      <c r="G74" s="700"/>
      <c r="H74" s="700"/>
      <c r="I74" s="700"/>
      <c r="J74" s="700"/>
      <c r="K74" s="700"/>
      <c r="L74" s="700"/>
      <c r="M74" s="701"/>
      <c r="N74" s="354"/>
      <c r="O74" s="354"/>
      <c r="P74" s="354"/>
      <c r="Q74" s="354"/>
      <c r="R74" s="354"/>
      <c r="S74" s="261"/>
      <c r="T74" s="261"/>
      <c r="U74" s="261"/>
    </row>
    <row r="75" spans="1:21" s="289" customFormat="1" ht="21.75" customHeight="1" x14ac:dyDescent="0.25">
      <c r="A75" s="712" t="s">
        <v>321</v>
      </c>
      <c r="B75" s="713"/>
      <c r="C75" s="713"/>
      <c r="D75" s="713"/>
      <c r="E75" s="316"/>
      <c r="F75" s="704" t="s">
        <v>67</v>
      </c>
      <c r="G75" s="705"/>
      <c r="H75" s="706" t="s">
        <v>195</v>
      </c>
      <c r="I75" s="706"/>
      <c r="J75" s="707" t="s">
        <v>114</v>
      </c>
      <c r="K75" s="707"/>
      <c r="L75" s="704" t="s">
        <v>115</v>
      </c>
      <c r="M75" s="708"/>
      <c r="N75" s="358"/>
      <c r="O75" s="358"/>
      <c r="P75" s="358"/>
      <c r="Q75" s="358"/>
      <c r="R75" s="358"/>
      <c r="S75" s="288"/>
      <c r="T75" s="288"/>
      <c r="U75" s="288"/>
    </row>
    <row r="76" spans="1:21" s="260" customFormat="1" ht="51.75" customHeight="1" x14ac:dyDescent="0.2">
      <c r="A76" s="679" t="s">
        <v>112</v>
      </c>
      <c r="B76" s="317" t="s">
        <v>68</v>
      </c>
      <c r="C76" s="681" t="s">
        <v>140</v>
      </c>
      <c r="D76" s="682"/>
      <c r="E76" s="683"/>
      <c r="F76" s="684">
        <v>0.1205</v>
      </c>
      <c r="G76" s="685"/>
      <c r="H76" s="684">
        <v>7.0499999999999993E-2</v>
      </c>
      <c r="I76" s="685"/>
      <c r="J76" s="686">
        <f>E73</f>
        <v>9.2799999999999994E-2</v>
      </c>
      <c r="K76" s="687"/>
      <c r="L76" s="688" t="str">
        <f>IF(N73=1,IF(AND(H76&lt;&gt;"",J76&lt;&gt;""),IF(J76&lt;=H76,"Submeta cumprida","Submeta não cumprida"),""),"")</f>
        <v>Submeta não cumprida</v>
      </c>
      <c r="M76" s="689"/>
      <c r="N76" s="359">
        <f>IF(L76="Submeta cumprida",1,0)</f>
        <v>0</v>
      </c>
      <c r="O76" s="354"/>
      <c r="P76" s="354"/>
      <c r="Q76" s="354"/>
      <c r="R76" s="354"/>
      <c r="S76" s="261"/>
      <c r="T76" s="261"/>
      <c r="U76" s="261"/>
    </row>
    <row r="77" spans="1:21" s="260" customFormat="1" ht="51.75" customHeight="1" x14ac:dyDescent="0.2">
      <c r="A77" s="680"/>
      <c r="B77" s="318" t="s">
        <v>69</v>
      </c>
      <c r="C77" s="690" t="s">
        <v>143</v>
      </c>
      <c r="D77" s="691"/>
      <c r="E77" s="692"/>
      <c r="F77" s="693">
        <v>0.49590000000000001</v>
      </c>
      <c r="G77" s="694"/>
      <c r="H77" s="693">
        <v>0.53590000000000004</v>
      </c>
      <c r="I77" s="694"/>
      <c r="J77" s="695">
        <f>H73</f>
        <v>0.53879999999999995</v>
      </c>
      <c r="K77" s="696"/>
      <c r="L77" s="669" t="str">
        <f>IF(N73=1,IF(AND(H77&lt;&gt;"",J77&lt;&gt;""),IF(J77&gt;=H77,"Submeta cumprida","Submeta não cumprida"),""),"")</f>
        <v>Submeta cumprida</v>
      </c>
      <c r="M77" s="670"/>
      <c r="N77" s="359">
        <f>IF(L77="Submeta cumprida",1,0)</f>
        <v>1</v>
      </c>
      <c r="O77" s="354"/>
      <c r="P77" s="354"/>
      <c r="Q77" s="354"/>
      <c r="R77" s="354"/>
      <c r="S77" s="261"/>
      <c r="T77" s="261"/>
      <c r="U77" s="261"/>
    </row>
    <row r="78" spans="1:21" s="260" customFormat="1" ht="17.25" customHeight="1" x14ac:dyDescent="0.2">
      <c r="A78" s="671" t="s">
        <v>116</v>
      </c>
      <c r="B78" s="672"/>
      <c r="C78" s="672"/>
      <c r="D78" s="672"/>
      <c r="E78" s="672"/>
      <c r="F78" s="672"/>
      <c r="G78" s="673"/>
      <c r="H78" s="674" t="str">
        <f>IF(N73=1,IF(H76&lt;&gt;"",IF(N78=1,"Foi alcançado sucesso neste ciclo de ensino","Não foi alcançado sucesso neste ciclo de ensino"),""),"")</f>
        <v>Foi alcançado sucesso neste ciclo de ensino</v>
      </c>
      <c r="I78" s="675"/>
      <c r="J78" s="675"/>
      <c r="K78" s="675"/>
      <c r="L78" s="675"/>
      <c r="M78" s="676"/>
      <c r="N78" s="354">
        <f>IF(H76&lt;&gt;"",IF(OR(N76=1,N77=1),1,0),"")</f>
        <v>1</v>
      </c>
      <c r="O78" s="354">
        <f>C73</f>
        <v>474</v>
      </c>
      <c r="P78" s="354"/>
      <c r="Q78" s="354"/>
      <c r="R78" s="354"/>
      <c r="S78" s="261"/>
      <c r="T78" s="261"/>
      <c r="U78" s="261"/>
    </row>
    <row r="79" spans="1:21" ht="9" customHeight="1" x14ac:dyDescent="0.25">
      <c r="I79" s="260"/>
      <c r="J79" s="260"/>
      <c r="K79" s="260"/>
      <c r="L79" s="260"/>
      <c r="M79" s="260"/>
    </row>
    <row r="80" spans="1:21" ht="30" customHeight="1" x14ac:dyDescent="0.25">
      <c r="A80" s="709" t="s">
        <v>86</v>
      </c>
      <c r="B80" s="710"/>
      <c r="C80" s="710"/>
      <c r="D80" s="710"/>
      <c r="E80" s="710"/>
      <c r="F80" s="710"/>
      <c r="G80" s="710"/>
      <c r="H80" s="710"/>
      <c r="I80" s="710"/>
      <c r="J80" s="710"/>
      <c r="K80" s="710"/>
      <c r="L80" s="710"/>
      <c r="M80" s="711"/>
    </row>
    <row r="81" spans="1:21" s="268" customFormat="1" ht="74.25" customHeight="1" x14ac:dyDescent="0.2">
      <c r="A81" s="697" t="s">
        <v>63</v>
      </c>
      <c r="B81" s="698"/>
      <c r="C81" s="312" t="s">
        <v>87</v>
      </c>
      <c r="D81" s="312" t="s">
        <v>79</v>
      </c>
      <c r="E81" s="312" t="s">
        <v>80</v>
      </c>
      <c r="F81" s="312" t="s">
        <v>81</v>
      </c>
      <c r="G81" s="312" t="s">
        <v>82</v>
      </c>
      <c r="H81" s="312" t="s">
        <v>83</v>
      </c>
      <c r="I81" s="599"/>
      <c r="J81" s="600"/>
      <c r="K81" s="600"/>
      <c r="L81" s="600"/>
      <c r="M81" s="601"/>
      <c r="N81" s="356"/>
      <c r="O81" s="356"/>
      <c r="P81" s="356"/>
      <c r="Q81" s="356"/>
      <c r="R81" s="356"/>
      <c r="S81" s="267"/>
      <c r="T81" s="267"/>
      <c r="U81" s="267"/>
    </row>
    <row r="82" spans="1:21" s="260" customFormat="1" ht="18" customHeight="1" x14ac:dyDescent="0.2">
      <c r="A82" s="697" t="s">
        <v>204</v>
      </c>
      <c r="B82" s="698"/>
      <c r="C82" s="370">
        <f>IF('1_IAA'!C134&gt;0,'1_IAA'!C134,"")</f>
        <v>145</v>
      </c>
      <c r="D82" s="370">
        <f>IF('1_IAA'!C134&gt;0,'1_IAA'!E134,"")</f>
        <v>11</v>
      </c>
      <c r="E82" s="314">
        <f>IF(AND(C82&lt;&gt;0,C82&lt;&gt;""),ROUND(D82/C82,4),"")</f>
        <v>7.5899999999999995E-2</v>
      </c>
      <c r="F82" s="370">
        <f>IF(COUNT('2_Av I'!V59:V61)&gt;0,SUM('2_Av I'!V59:V61),"")</f>
        <v>138</v>
      </c>
      <c r="G82" s="370">
        <f>IF(COUNT('2_Av I'!V59:V61)&gt;0,SUM('2_Av I'!W59:X61),"")</f>
        <v>103</v>
      </c>
      <c r="H82" s="315">
        <f>IF(AND(F82&lt;&gt;0,F82&lt;&gt;""),ROUND(G82/F82,4),"")</f>
        <v>0.74639999999999995</v>
      </c>
      <c r="I82" s="602"/>
      <c r="J82" s="603"/>
      <c r="K82" s="603"/>
      <c r="L82" s="603"/>
      <c r="M82" s="604"/>
      <c r="N82" s="354">
        <f>IF(AND(COUNT(C82:D82)&lt;&gt;0,COUNT(F82:G82)&lt;&gt;0),1,0)</f>
        <v>1</v>
      </c>
      <c r="O82" s="354"/>
      <c r="P82" s="354"/>
      <c r="Q82" s="354"/>
      <c r="R82" s="354"/>
      <c r="S82" s="261"/>
      <c r="T82" s="261"/>
      <c r="U82" s="261"/>
    </row>
    <row r="83" spans="1:21" s="260" customFormat="1" ht="21.75" customHeight="1" x14ac:dyDescent="0.2">
      <c r="A83" s="699" t="s">
        <v>322</v>
      </c>
      <c r="B83" s="700"/>
      <c r="C83" s="700"/>
      <c r="D83" s="700"/>
      <c r="E83" s="700"/>
      <c r="F83" s="700"/>
      <c r="G83" s="700"/>
      <c r="H83" s="700"/>
      <c r="I83" s="700"/>
      <c r="J83" s="700"/>
      <c r="K83" s="700"/>
      <c r="L83" s="700"/>
      <c r="M83" s="701"/>
      <c r="N83" s="354"/>
      <c r="O83" s="354"/>
      <c r="P83" s="354"/>
      <c r="Q83" s="354"/>
      <c r="R83" s="354"/>
      <c r="S83" s="261"/>
      <c r="T83" s="261"/>
      <c r="U83" s="261"/>
    </row>
    <row r="84" spans="1:21" s="289" customFormat="1" ht="32.25" customHeight="1" x14ac:dyDescent="0.25">
      <c r="A84" s="702" t="s">
        <v>342</v>
      </c>
      <c r="B84" s="703"/>
      <c r="C84" s="703"/>
      <c r="D84" s="703"/>
      <c r="E84" s="703"/>
      <c r="F84" s="704" t="s">
        <v>67</v>
      </c>
      <c r="G84" s="705"/>
      <c r="H84" s="706" t="s">
        <v>195</v>
      </c>
      <c r="I84" s="706"/>
      <c r="J84" s="707" t="s">
        <v>114</v>
      </c>
      <c r="K84" s="707"/>
      <c r="L84" s="704" t="s">
        <v>115</v>
      </c>
      <c r="M84" s="708"/>
      <c r="N84" s="358"/>
      <c r="O84" s="358"/>
      <c r="P84" s="358"/>
      <c r="Q84" s="358"/>
      <c r="R84" s="358"/>
      <c r="S84" s="288"/>
      <c r="T84" s="288"/>
      <c r="U84" s="288"/>
    </row>
    <row r="85" spans="1:21" s="260" customFormat="1" ht="51.75" customHeight="1" x14ac:dyDescent="0.2">
      <c r="A85" s="679" t="s">
        <v>112</v>
      </c>
      <c r="B85" s="317" t="s">
        <v>68</v>
      </c>
      <c r="C85" s="681" t="s">
        <v>140</v>
      </c>
      <c r="D85" s="682"/>
      <c r="E85" s="683"/>
      <c r="F85" s="684">
        <v>0.19889999999999999</v>
      </c>
      <c r="G85" s="685"/>
      <c r="H85" s="684">
        <v>0.14889999999999998</v>
      </c>
      <c r="I85" s="685"/>
      <c r="J85" s="686">
        <f>E82</f>
        <v>7.5899999999999995E-2</v>
      </c>
      <c r="K85" s="687"/>
      <c r="L85" s="688" t="str">
        <f>IF(N82=1,IF(AND(H85&lt;&gt;"",J85&lt;&gt;""),IF(J85&lt;=H85,"Submeta cumprida","Submeta não cumprida"),""),"")</f>
        <v>Submeta cumprida</v>
      </c>
      <c r="M85" s="689"/>
      <c r="N85" s="359">
        <f>IF(L85="Submeta cumprida",1,0)</f>
        <v>1</v>
      </c>
      <c r="O85" s="354"/>
      <c r="P85" s="354"/>
      <c r="Q85" s="354"/>
      <c r="R85" s="354"/>
      <c r="S85" s="261"/>
      <c r="T85" s="261"/>
      <c r="U85" s="261"/>
    </row>
    <row r="86" spans="1:21" s="260" customFormat="1" ht="51.75" customHeight="1" x14ac:dyDescent="0.2">
      <c r="A86" s="680"/>
      <c r="B86" s="318" t="s">
        <v>69</v>
      </c>
      <c r="C86" s="690" t="s">
        <v>143</v>
      </c>
      <c r="D86" s="691"/>
      <c r="E86" s="692"/>
      <c r="F86" s="693">
        <v>0.72189999999999999</v>
      </c>
      <c r="G86" s="694"/>
      <c r="H86" s="693">
        <v>0.76190000000000002</v>
      </c>
      <c r="I86" s="694"/>
      <c r="J86" s="695">
        <f>H82</f>
        <v>0.74639999999999995</v>
      </c>
      <c r="K86" s="696"/>
      <c r="L86" s="669" t="str">
        <f>IF(N82=1,IF(AND(H86&lt;&gt;"",J86&lt;&gt;""),IF(J86&gt;=H86,"Submeta cumprida","Submeta não cumprida"),""),"")</f>
        <v>Submeta não cumprida</v>
      </c>
      <c r="M86" s="670"/>
      <c r="N86" s="359">
        <f>IF(L86="Submeta cumprida",1,0)</f>
        <v>0</v>
      </c>
      <c r="O86" s="354"/>
      <c r="P86" s="354"/>
      <c r="Q86" s="354"/>
      <c r="R86" s="354"/>
      <c r="S86" s="261"/>
      <c r="T86" s="261"/>
      <c r="U86" s="261"/>
    </row>
    <row r="87" spans="1:21" s="260" customFormat="1" ht="17.25" customHeight="1" x14ac:dyDescent="0.2">
      <c r="A87" s="671" t="s">
        <v>116</v>
      </c>
      <c r="B87" s="672"/>
      <c r="C87" s="672"/>
      <c r="D87" s="672"/>
      <c r="E87" s="672"/>
      <c r="F87" s="672"/>
      <c r="G87" s="673"/>
      <c r="H87" s="674" t="str">
        <f>IF(N82=1,IF(H85&lt;&gt;"",IF(N87=1,"Foi alcançado sucesso neste ciclo de ensino","Não foi alcançado sucesso neste ciclo de ensino"),""),"")</f>
        <v>Foi alcançado sucesso neste ciclo de ensino</v>
      </c>
      <c r="I87" s="675"/>
      <c r="J87" s="675"/>
      <c r="K87" s="675"/>
      <c r="L87" s="675"/>
      <c r="M87" s="676"/>
      <c r="N87" s="354">
        <f>IF(H85&lt;&gt;"",IF(OR(N85=1,N86=1),1,0),"")</f>
        <v>1</v>
      </c>
      <c r="O87" s="354">
        <f>C82</f>
        <v>145</v>
      </c>
      <c r="P87" s="361">
        <f>IF(AND(SUM(O60,O69,O78,O87)&gt;0,OR(N60&lt;&gt;"",N69&lt;&gt;"",N78&lt;&gt;"",N87&lt;&gt;"")),(IF(N60&lt;&gt;"",N60*O60,0)+IF(N69&lt;&gt;"",N69*O69,0)+IF(N78&lt;&gt;"",N78*O78,0)+IF(N87&lt;&gt;"",N87*O87,0))/SUM(O60,O69,O78,O87),"")</f>
        <v>0.80317940953822864</v>
      </c>
      <c r="Q87" s="354"/>
      <c r="R87" s="354"/>
      <c r="S87" s="261"/>
      <c r="T87" s="261"/>
      <c r="U87" s="261"/>
    </row>
    <row r="88" spans="1:21" ht="15" customHeight="1" x14ac:dyDescent="0.25"/>
    <row r="89" spans="1:21" ht="36.75" customHeight="1" x14ac:dyDescent="0.35">
      <c r="A89" s="677" t="s">
        <v>232</v>
      </c>
      <c r="B89" s="677"/>
      <c r="C89" s="677"/>
      <c r="D89" s="677"/>
      <c r="E89" s="677"/>
      <c r="F89" s="677"/>
      <c r="G89" s="677"/>
      <c r="H89" s="677"/>
      <c r="I89" s="677"/>
      <c r="J89" s="677"/>
      <c r="K89" s="677"/>
      <c r="L89" s="319">
        <f>IF(OR(H60&lt;&gt;"",H69&lt;&gt;"",H78&lt;&gt;"",H87&lt;&gt;""),ROUND(P87,2),"")</f>
        <v>0.8</v>
      </c>
      <c r="M89" s="320"/>
    </row>
    <row r="90" spans="1:21" ht="15" customHeight="1" x14ac:dyDescent="0.25"/>
    <row r="91" spans="1:21" ht="36.75" customHeight="1" x14ac:dyDescent="0.25">
      <c r="A91" s="678" t="s">
        <v>88</v>
      </c>
      <c r="B91" s="631"/>
      <c r="C91" s="631"/>
      <c r="D91" s="631"/>
      <c r="E91" s="631"/>
      <c r="F91" s="631"/>
      <c r="G91" s="631"/>
      <c r="H91" s="631"/>
      <c r="I91" s="631"/>
      <c r="J91" s="631"/>
      <c r="K91" s="631"/>
      <c r="L91" s="631"/>
      <c r="M91" s="631"/>
    </row>
    <row r="93" spans="1:21" ht="30" customHeight="1" x14ac:dyDescent="0.25">
      <c r="A93" s="657" t="s">
        <v>84</v>
      </c>
      <c r="B93" s="658"/>
      <c r="C93" s="659"/>
      <c r="D93" s="659"/>
      <c r="E93" s="659"/>
      <c r="F93" s="659"/>
      <c r="G93" s="659"/>
      <c r="H93" s="659"/>
      <c r="I93" s="659"/>
      <c r="J93" s="659"/>
      <c r="K93" s="659"/>
      <c r="L93" s="659"/>
      <c r="M93" s="660"/>
    </row>
    <row r="94" spans="1:21" s="260" customFormat="1" ht="19.5" customHeight="1" x14ac:dyDescent="0.2">
      <c r="A94" s="321"/>
      <c r="B94" s="322"/>
      <c r="C94" s="661" t="s">
        <v>324</v>
      </c>
      <c r="D94" s="662"/>
      <c r="E94" s="662"/>
      <c r="F94" s="662"/>
      <c r="G94" s="663"/>
      <c r="H94" s="664" t="s">
        <v>89</v>
      </c>
      <c r="I94" s="605" t="str">
        <f>IF(AND(C96&gt;0,COUNT(D96:F96)&gt;0),IF(G96&lt;&gt;'1_IAA'!G79,"ERRO: Os valores introduzidos não coincidem com os inseridos no quadro '1_IAA'!",""),"")</f>
        <v/>
      </c>
      <c r="J94" s="606"/>
      <c r="K94" s="606"/>
      <c r="L94" s="606"/>
      <c r="M94" s="607"/>
      <c r="N94" s="354"/>
      <c r="O94" s="354"/>
      <c r="P94" s="354"/>
      <c r="Q94" s="354"/>
      <c r="R94" s="354"/>
      <c r="S94" s="261"/>
      <c r="T94" s="261"/>
      <c r="U94" s="261"/>
    </row>
    <row r="95" spans="1:21" s="268" customFormat="1" ht="88.5" customHeight="1" x14ac:dyDescent="0.2">
      <c r="A95" s="665" t="s">
        <v>63</v>
      </c>
      <c r="B95" s="666"/>
      <c r="C95" s="323" t="s">
        <v>90</v>
      </c>
      <c r="D95" s="323" t="s">
        <v>91</v>
      </c>
      <c r="E95" s="323" t="s">
        <v>92</v>
      </c>
      <c r="F95" s="323" t="s">
        <v>93</v>
      </c>
      <c r="G95" s="324" t="s">
        <v>94</v>
      </c>
      <c r="H95" s="664"/>
      <c r="I95" s="608"/>
      <c r="J95" s="609"/>
      <c r="K95" s="609"/>
      <c r="L95" s="609"/>
      <c r="M95" s="610"/>
      <c r="N95" s="356"/>
      <c r="O95" s="356"/>
      <c r="P95" s="356"/>
      <c r="Q95" s="356"/>
      <c r="R95" s="356"/>
      <c r="S95" s="267"/>
      <c r="T95" s="267"/>
      <c r="U95" s="267"/>
    </row>
    <row r="96" spans="1:21" s="260" customFormat="1" ht="18" customHeight="1" x14ac:dyDescent="0.2">
      <c r="A96" s="651" t="s">
        <v>204</v>
      </c>
      <c r="B96" s="623"/>
      <c r="C96" s="325">
        <f>IF('1_IAA'!C79&gt;0,'1_IAA'!C79,"")</f>
        <v>260</v>
      </c>
      <c r="D96" s="270">
        <v>0</v>
      </c>
      <c r="E96" s="270">
        <v>0</v>
      </c>
      <c r="F96" s="270">
        <v>5</v>
      </c>
      <c r="G96" s="325">
        <f>IF(C96&lt;&gt;"",SUM(D96:F96),"")</f>
        <v>5</v>
      </c>
      <c r="H96" s="326">
        <f>IF(AND(C96&lt;&gt;0,C96&lt;&gt;""),ROUND(G96/C96,4),"")</f>
        <v>1.9199999999999998E-2</v>
      </c>
      <c r="I96" s="611"/>
      <c r="J96" s="612"/>
      <c r="K96" s="612"/>
      <c r="L96" s="612"/>
      <c r="M96" s="613"/>
      <c r="N96" s="354">
        <f>IF(COUNT(C96:F96)&lt;&gt;0,1,0)</f>
        <v>1</v>
      </c>
      <c r="O96" s="354"/>
      <c r="P96" s="354"/>
      <c r="Q96" s="354"/>
      <c r="R96" s="354"/>
      <c r="S96" s="261"/>
      <c r="T96" s="261"/>
      <c r="U96" s="261"/>
    </row>
    <row r="97" spans="1:21" s="329" customFormat="1" ht="42" customHeight="1" x14ac:dyDescent="0.2">
      <c r="A97" s="327"/>
      <c r="B97" s="652" t="s">
        <v>325</v>
      </c>
      <c r="C97" s="652"/>
      <c r="D97" s="652"/>
      <c r="E97" s="652"/>
      <c r="F97" s="652"/>
      <c r="G97" s="652"/>
      <c r="H97" s="652"/>
      <c r="I97" s="652"/>
      <c r="J97" s="652"/>
      <c r="K97" s="652"/>
      <c r="L97" s="652"/>
      <c r="M97" s="653"/>
      <c r="S97" s="328"/>
      <c r="T97" s="328"/>
      <c r="U97" s="328"/>
    </row>
    <row r="98" spans="1:21" s="289" customFormat="1" ht="24" customHeight="1" x14ac:dyDescent="0.25">
      <c r="A98" s="330"/>
      <c r="B98" s="331"/>
      <c r="C98" s="332"/>
      <c r="D98" s="332"/>
      <c r="E98" s="332"/>
      <c r="F98" s="654" t="s">
        <v>67</v>
      </c>
      <c r="G98" s="654"/>
      <c r="H98" s="654" t="s">
        <v>195</v>
      </c>
      <c r="I98" s="654"/>
      <c r="J98" s="654" t="s">
        <v>114</v>
      </c>
      <c r="K98" s="654"/>
      <c r="L98" s="655" t="s">
        <v>117</v>
      </c>
      <c r="M98" s="656"/>
      <c r="N98" s="358"/>
      <c r="O98" s="358"/>
      <c r="P98" s="358"/>
      <c r="Q98" s="358"/>
      <c r="R98" s="358"/>
      <c r="S98" s="288"/>
      <c r="T98" s="288"/>
      <c r="U98" s="288"/>
    </row>
    <row r="99" spans="1:21" s="260" customFormat="1" ht="76.5" customHeight="1" x14ac:dyDescent="0.2">
      <c r="A99" s="333" t="s">
        <v>113</v>
      </c>
      <c r="B99" s="641" t="s">
        <v>145</v>
      </c>
      <c r="C99" s="622"/>
      <c r="D99" s="622"/>
      <c r="E99" s="623"/>
      <c r="F99" s="642">
        <v>6.9999999999999999E-4</v>
      </c>
      <c r="G99" s="643"/>
      <c r="H99" s="642">
        <v>8.0000000000000002E-3</v>
      </c>
      <c r="I99" s="644"/>
      <c r="J99" s="645">
        <f>H96</f>
        <v>1.9199999999999998E-2</v>
      </c>
      <c r="K99" s="646"/>
      <c r="L99" s="647" t="str">
        <f>IF(N96=1,IF(AND(H99&lt;&gt;"",J99&lt;&gt;""),IF(J99&lt;=H99,"meta cumprida","meta não cumprida"),""),"")</f>
        <v>meta não cumprida</v>
      </c>
      <c r="M99" s="648"/>
      <c r="N99" s="359">
        <f>IF(L99="meta cumprida",1,0)</f>
        <v>0</v>
      </c>
      <c r="O99" s="354"/>
      <c r="P99" s="354"/>
      <c r="Q99" s="354"/>
      <c r="R99" s="354"/>
      <c r="S99" s="261"/>
      <c r="T99" s="261"/>
      <c r="U99" s="261"/>
    </row>
    <row r="100" spans="1:21" s="260" customFormat="1" ht="17.25" customHeight="1" x14ac:dyDescent="0.25">
      <c r="A100" s="334"/>
      <c r="B100" s="335"/>
      <c r="C100" s="336"/>
      <c r="D100" s="336"/>
      <c r="E100" s="336"/>
      <c r="F100" s="336"/>
      <c r="G100" s="336"/>
      <c r="H100" s="647" t="str">
        <f>IF(N96=1,IF(H99&lt;&gt;"",IF(N100=1,"Foi alcançado sucesso neste nível de ensino","Não foi alcançado sucesso neste nível de ensino"),""),"")</f>
        <v>Não foi alcançado sucesso neste nível de ensino</v>
      </c>
      <c r="I100" s="649"/>
      <c r="J100" s="649"/>
      <c r="K100" s="649"/>
      <c r="L100" s="649"/>
      <c r="M100" s="650"/>
      <c r="N100" s="362">
        <f>IF(H99&lt;&gt;"",IF(N99=1,1,0),"")</f>
        <v>0</v>
      </c>
      <c r="O100" s="354">
        <f>C96</f>
        <v>260</v>
      </c>
      <c r="P100" s="354"/>
      <c r="Q100" s="354"/>
      <c r="R100" s="354"/>
      <c r="S100" s="261"/>
      <c r="T100" s="261"/>
      <c r="U100" s="261"/>
    </row>
    <row r="101" spans="1:21" ht="9" customHeight="1" x14ac:dyDescent="0.25"/>
    <row r="102" spans="1:21" ht="30" customHeight="1" x14ac:dyDescent="0.25">
      <c r="A102" s="657" t="s">
        <v>85</v>
      </c>
      <c r="B102" s="658"/>
      <c r="C102" s="659"/>
      <c r="D102" s="659"/>
      <c r="E102" s="659"/>
      <c r="F102" s="659"/>
      <c r="G102" s="659"/>
      <c r="H102" s="659"/>
      <c r="I102" s="659"/>
      <c r="J102" s="659"/>
      <c r="K102" s="659"/>
      <c r="L102" s="659"/>
      <c r="M102" s="660"/>
    </row>
    <row r="103" spans="1:21" s="260" customFormat="1" ht="19.5" customHeight="1" x14ac:dyDescent="0.2">
      <c r="A103" s="321"/>
      <c r="B103" s="322"/>
      <c r="C103" s="661" t="s">
        <v>324</v>
      </c>
      <c r="D103" s="662"/>
      <c r="E103" s="662"/>
      <c r="F103" s="662"/>
      <c r="G103" s="663"/>
      <c r="H103" s="664" t="s">
        <v>89</v>
      </c>
      <c r="I103" s="605" t="str">
        <f>IF(AND(C105&gt;0,COUNT(D105:F105)&gt;0),IF(G105&lt;&gt;'1_IAA'!G118,"ERRO: Os valores introduzidos não coincidem com os inseridos no quadro '1_IAA'!",""),"")</f>
        <v/>
      </c>
      <c r="J103" s="606"/>
      <c r="K103" s="606"/>
      <c r="L103" s="606"/>
      <c r="M103" s="607"/>
      <c r="N103" s="354"/>
      <c r="O103" s="354"/>
      <c r="P103" s="354"/>
      <c r="Q103" s="354"/>
      <c r="R103" s="354"/>
      <c r="S103" s="261"/>
      <c r="T103" s="261"/>
      <c r="U103" s="261"/>
    </row>
    <row r="104" spans="1:21" s="268" customFormat="1" ht="88.5" customHeight="1" x14ac:dyDescent="0.2">
      <c r="A104" s="665" t="s">
        <v>63</v>
      </c>
      <c r="B104" s="666"/>
      <c r="C104" s="323" t="s">
        <v>90</v>
      </c>
      <c r="D104" s="323" t="s">
        <v>91</v>
      </c>
      <c r="E104" s="323" t="s">
        <v>92</v>
      </c>
      <c r="F104" s="323" t="s">
        <v>93</v>
      </c>
      <c r="G104" s="324" t="s">
        <v>94</v>
      </c>
      <c r="H104" s="664"/>
      <c r="I104" s="608"/>
      <c r="J104" s="609"/>
      <c r="K104" s="609"/>
      <c r="L104" s="609"/>
      <c r="M104" s="610"/>
      <c r="N104" s="356"/>
      <c r="O104" s="356"/>
      <c r="P104" s="356"/>
      <c r="Q104" s="356"/>
      <c r="R104" s="356"/>
      <c r="S104" s="267"/>
      <c r="T104" s="267"/>
      <c r="U104" s="267"/>
    </row>
    <row r="105" spans="1:21" s="260" customFormat="1" ht="18" customHeight="1" x14ac:dyDescent="0.2">
      <c r="A105" s="651" t="s">
        <v>204</v>
      </c>
      <c r="B105" s="623"/>
      <c r="C105" s="325">
        <f>IF('1_IAA'!C118&gt;0,'1_IAA'!C118,"")</f>
        <v>493</v>
      </c>
      <c r="D105" s="270">
        <v>0</v>
      </c>
      <c r="E105" s="270">
        <v>0</v>
      </c>
      <c r="F105" s="270">
        <v>1</v>
      </c>
      <c r="G105" s="325">
        <f>IF(C105&lt;&gt;"",SUM(D105:F105),"")</f>
        <v>1</v>
      </c>
      <c r="H105" s="326">
        <f>IF(AND(C105&lt;&gt;0,C105&lt;&gt;""),ROUND(G105/C105,4),"")</f>
        <v>2E-3</v>
      </c>
      <c r="I105" s="611"/>
      <c r="J105" s="612"/>
      <c r="K105" s="612"/>
      <c r="L105" s="612"/>
      <c r="M105" s="613"/>
      <c r="N105" s="354">
        <f>IF(COUNT(C105:F105)&lt;&gt;0,1,0)</f>
        <v>1</v>
      </c>
      <c r="O105" s="354"/>
      <c r="P105" s="354"/>
      <c r="Q105" s="354"/>
      <c r="R105" s="354"/>
      <c r="S105" s="261"/>
      <c r="T105" s="261"/>
      <c r="U105" s="261"/>
    </row>
    <row r="106" spans="1:21" s="329" customFormat="1" ht="42" customHeight="1" x14ac:dyDescent="0.2">
      <c r="A106" s="327"/>
      <c r="B106" s="652" t="s">
        <v>325</v>
      </c>
      <c r="C106" s="652"/>
      <c r="D106" s="652"/>
      <c r="E106" s="652"/>
      <c r="F106" s="652"/>
      <c r="G106" s="652"/>
      <c r="H106" s="652"/>
      <c r="I106" s="652"/>
      <c r="J106" s="652"/>
      <c r="K106" s="652"/>
      <c r="L106" s="652"/>
      <c r="M106" s="653"/>
      <c r="S106" s="328"/>
      <c r="T106" s="328"/>
      <c r="U106" s="328"/>
    </row>
    <row r="107" spans="1:21" s="289" customFormat="1" ht="24" customHeight="1" x14ac:dyDescent="0.25">
      <c r="A107" s="330"/>
      <c r="B107" s="331"/>
      <c r="C107" s="332"/>
      <c r="D107" s="332"/>
      <c r="E107" s="332"/>
      <c r="F107" s="654" t="s">
        <v>67</v>
      </c>
      <c r="G107" s="654"/>
      <c r="H107" s="654" t="s">
        <v>195</v>
      </c>
      <c r="I107" s="654"/>
      <c r="J107" s="654" t="s">
        <v>114</v>
      </c>
      <c r="K107" s="654"/>
      <c r="L107" s="655" t="s">
        <v>117</v>
      </c>
      <c r="M107" s="656"/>
      <c r="N107" s="358"/>
      <c r="O107" s="358"/>
      <c r="P107" s="358"/>
      <c r="Q107" s="358"/>
      <c r="R107" s="358"/>
      <c r="S107" s="288"/>
      <c r="T107" s="288"/>
      <c r="U107" s="288"/>
    </row>
    <row r="108" spans="1:21" s="260" customFormat="1" ht="76.5" customHeight="1" x14ac:dyDescent="0.2">
      <c r="A108" s="333" t="s">
        <v>113</v>
      </c>
      <c r="B108" s="641" t="s">
        <v>145</v>
      </c>
      <c r="C108" s="622"/>
      <c r="D108" s="622"/>
      <c r="E108" s="623"/>
      <c r="F108" s="642">
        <v>1.4E-3</v>
      </c>
      <c r="G108" s="643"/>
      <c r="H108" s="667">
        <v>8.0000000000000002E-3</v>
      </c>
      <c r="I108" s="668"/>
      <c r="J108" s="645">
        <f>H105</f>
        <v>2E-3</v>
      </c>
      <c r="K108" s="646"/>
      <c r="L108" s="647" t="str">
        <f>IF(N105=1,IF(AND(H108&lt;&gt;"",J108&lt;&gt;""),IF(J108&lt;=H108,"meta cumprida","meta não cumprida"),""),"")</f>
        <v>meta cumprida</v>
      </c>
      <c r="M108" s="648"/>
      <c r="N108" s="359">
        <f>IF(L108="meta cumprida",1,0)</f>
        <v>1</v>
      </c>
      <c r="O108" s="354"/>
      <c r="P108" s="354"/>
      <c r="Q108" s="354"/>
      <c r="R108" s="354"/>
      <c r="S108" s="261"/>
      <c r="T108" s="261"/>
      <c r="U108" s="261"/>
    </row>
    <row r="109" spans="1:21" s="260" customFormat="1" ht="17.25" customHeight="1" x14ac:dyDescent="0.25">
      <c r="A109" s="334"/>
      <c r="B109" s="335"/>
      <c r="C109" s="336"/>
      <c r="D109" s="336"/>
      <c r="E109" s="336"/>
      <c r="F109" s="336"/>
      <c r="G109" s="336"/>
      <c r="H109" s="647" t="str">
        <f>IF(N105=1,IF(H108&lt;&gt;"",IF(N109=1,"Foi alcançado sucesso neste nível de ensino","Não foi alcançado sucesso neste nível de ensino"),""),"")</f>
        <v>Foi alcançado sucesso neste nível de ensino</v>
      </c>
      <c r="I109" s="649"/>
      <c r="J109" s="649"/>
      <c r="K109" s="649"/>
      <c r="L109" s="649"/>
      <c r="M109" s="650"/>
      <c r="N109" s="362">
        <f>IF(H108&lt;&gt;"",IF(N108=1,1,0),"")</f>
        <v>1</v>
      </c>
      <c r="O109" s="354">
        <f>C105</f>
        <v>493</v>
      </c>
      <c r="P109" s="354"/>
      <c r="Q109" s="354"/>
      <c r="R109" s="354"/>
      <c r="S109" s="261"/>
      <c r="T109" s="261"/>
      <c r="U109" s="261"/>
    </row>
    <row r="110" spans="1:21" ht="9" customHeight="1" x14ac:dyDescent="0.25"/>
    <row r="111" spans="1:21" ht="30" customHeight="1" x14ac:dyDescent="0.25">
      <c r="A111" s="657" t="s">
        <v>95</v>
      </c>
      <c r="B111" s="658"/>
      <c r="C111" s="659"/>
      <c r="D111" s="659"/>
      <c r="E111" s="659"/>
      <c r="F111" s="659"/>
      <c r="G111" s="659"/>
      <c r="H111" s="659"/>
      <c r="I111" s="659"/>
      <c r="J111" s="659"/>
      <c r="K111" s="659"/>
      <c r="L111" s="659"/>
      <c r="M111" s="660"/>
    </row>
    <row r="112" spans="1:21" s="260" customFormat="1" ht="19.5" customHeight="1" x14ac:dyDescent="0.2">
      <c r="A112" s="321"/>
      <c r="B112" s="322"/>
      <c r="C112" s="661" t="s">
        <v>324</v>
      </c>
      <c r="D112" s="662"/>
      <c r="E112" s="662"/>
      <c r="F112" s="662"/>
      <c r="G112" s="663"/>
      <c r="H112" s="664" t="s">
        <v>89</v>
      </c>
      <c r="I112" s="605" t="str">
        <f>IF(AND(C114&gt;0,COUNT(D114:F114)&gt;0),IF(G114&lt;&gt;'1_IAA'!G161,"ERRO: Os valores introduzidos não coincidem com os inseridos no quadro '1_IAA'!",""),"")</f>
        <v/>
      </c>
      <c r="J112" s="606"/>
      <c r="K112" s="606"/>
      <c r="L112" s="606"/>
      <c r="M112" s="607"/>
      <c r="N112" s="354"/>
      <c r="O112" s="354"/>
      <c r="P112" s="354"/>
      <c r="Q112" s="354"/>
      <c r="R112" s="354"/>
      <c r="S112" s="261"/>
      <c r="T112" s="261"/>
      <c r="U112" s="261"/>
    </row>
    <row r="113" spans="1:21" s="268" customFormat="1" ht="88.5" customHeight="1" x14ac:dyDescent="0.2">
      <c r="A113" s="665" t="s">
        <v>63</v>
      </c>
      <c r="B113" s="666"/>
      <c r="C113" s="323" t="s">
        <v>90</v>
      </c>
      <c r="D113" s="323" t="s">
        <v>91</v>
      </c>
      <c r="E113" s="323" t="s">
        <v>92</v>
      </c>
      <c r="F113" s="323" t="s">
        <v>93</v>
      </c>
      <c r="G113" s="324" t="s">
        <v>94</v>
      </c>
      <c r="H113" s="664"/>
      <c r="I113" s="608"/>
      <c r="J113" s="609"/>
      <c r="K113" s="609"/>
      <c r="L113" s="609"/>
      <c r="M113" s="610"/>
      <c r="N113" s="356"/>
      <c r="O113" s="356"/>
      <c r="P113" s="356"/>
      <c r="Q113" s="356"/>
      <c r="R113" s="356"/>
      <c r="S113" s="267"/>
      <c r="T113" s="267"/>
      <c r="U113" s="267"/>
    </row>
    <row r="114" spans="1:21" s="260" customFormat="1" ht="18" customHeight="1" x14ac:dyDescent="0.2">
      <c r="A114" s="651" t="s">
        <v>204</v>
      </c>
      <c r="B114" s="623"/>
      <c r="C114" s="325">
        <f>IF('1_IAA'!C161&gt;0,'1_IAA'!C161,"")</f>
        <v>184</v>
      </c>
      <c r="D114" s="270">
        <v>0</v>
      </c>
      <c r="E114" s="270">
        <v>1</v>
      </c>
      <c r="F114" s="270">
        <v>0</v>
      </c>
      <c r="G114" s="325">
        <f>IF(C114&lt;&gt;"",SUM(D114:F114),"")</f>
        <v>1</v>
      </c>
      <c r="H114" s="326">
        <f>IF(AND(C114&lt;&gt;0,C114&lt;&gt;""),ROUND(G114/C114,4),"")</f>
        <v>5.4000000000000003E-3</v>
      </c>
      <c r="I114" s="611"/>
      <c r="J114" s="612"/>
      <c r="K114" s="612"/>
      <c r="L114" s="612"/>
      <c r="M114" s="613"/>
      <c r="N114" s="354">
        <f>IF(COUNT(C114:F114)&lt;&gt;0,1,0)</f>
        <v>1</v>
      </c>
      <c r="O114" s="354"/>
      <c r="P114" s="354"/>
      <c r="Q114" s="354"/>
      <c r="R114" s="354"/>
      <c r="S114" s="261"/>
      <c r="T114" s="261"/>
      <c r="U114" s="261"/>
    </row>
    <row r="115" spans="1:21" s="329" customFormat="1" ht="42" customHeight="1" x14ac:dyDescent="0.2">
      <c r="A115" s="327"/>
      <c r="B115" s="652" t="s">
        <v>325</v>
      </c>
      <c r="C115" s="652"/>
      <c r="D115" s="652"/>
      <c r="E115" s="652"/>
      <c r="F115" s="652"/>
      <c r="G115" s="652"/>
      <c r="H115" s="652"/>
      <c r="I115" s="652"/>
      <c r="J115" s="652"/>
      <c r="K115" s="652"/>
      <c r="L115" s="652"/>
      <c r="M115" s="653"/>
      <c r="S115" s="328"/>
      <c r="T115" s="328"/>
      <c r="U115" s="328"/>
    </row>
    <row r="116" spans="1:21" s="289" customFormat="1" ht="24" customHeight="1" x14ac:dyDescent="0.25">
      <c r="A116" s="330"/>
      <c r="B116" s="331"/>
      <c r="C116" s="332"/>
      <c r="D116" s="332"/>
      <c r="E116" s="332"/>
      <c r="F116" s="654" t="s">
        <v>67</v>
      </c>
      <c r="G116" s="654"/>
      <c r="H116" s="654" t="s">
        <v>195</v>
      </c>
      <c r="I116" s="654"/>
      <c r="J116" s="654" t="s">
        <v>114</v>
      </c>
      <c r="K116" s="654"/>
      <c r="L116" s="655" t="s">
        <v>117</v>
      </c>
      <c r="M116" s="656"/>
      <c r="N116" s="358"/>
      <c r="O116" s="358"/>
      <c r="P116" s="358"/>
      <c r="Q116" s="358"/>
      <c r="R116" s="358"/>
      <c r="S116" s="288"/>
      <c r="T116" s="288"/>
      <c r="U116" s="288"/>
    </row>
    <row r="117" spans="1:21" s="260" customFormat="1" ht="76.5" customHeight="1" x14ac:dyDescent="0.2">
      <c r="A117" s="333" t="s">
        <v>113</v>
      </c>
      <c r="B117" s="641" t="s">
        <v>144</v>
      </c>
      <c r="C117" s="622"/>
      <c r="D117" s="622"/>
      <c r="E117" s="623"/>
      <c r="F117" s="642">
        <v>3.1300000000000001E-2</v>
      </c>
      <c r="G117" s="643"/>
      <c r="H117" s="642">
        <v>2.35E-2</v>
      </c>
      <c r="I117" s="644"/>
      <c r="J117" s="645">
        <f>H114</f>
        <v>5.4000000000000003E-3</v>
      </c>
      <c r="K117" s="646"/>
      <c r="L117" s="647" t="str">
        <f>IF(N114=1,IF(AND(H117&lt;&gt;"",J117&lt;&gt;""),IF(J117&lt;=H117,"meta cumprida","meta não cumprida"),""),"")</f>
        <v>meta cumprida</v>
      </c>
      <c r="M117" s="648"/>
      <c r="N117" s="359">
        <f>IF(L117="meta cumprida",1,0)</f>
        <v>1</v>
      </c>
      <c r="O117" s="354"/>
      <c r="P117" s="354"/>
      <c r="Q117" s="354"/>
      <c r="R117" s="354"/>
      <c r="S117" s="261"/>
      <c r="T117" s="261"/>
      <c r="U117" s="261"/>
    </row>
    <row r="118" spans="1:21" s="260" customFormat="1" ht="17.25" customHeight="1" x14ac:dyDescent="0.25">
      <c r="A118" s="334"/>
      <c r="B118" s="335"/>
      <c r="C118" s="336"/>
      <c r="D118" s="336"/>
      <c r="E118" s="336"/>
      <c r="F118" s="336"/>
      <c r="G118" s="336"/>
      <c r="H118" s="647" t="str">
        <f>IF(N114=1,IF(H117&lt;&gt;"",IF(N118=1,"Foi alcançado sucesso neste nível de ensino","Não foi alcançado sucesso neste nível de ensino"),""),"")</f>
        <v>Foi alcançado sucesso neste nível de ensino</v>
      </c>
      <c r="I118" s="649"/>
      <c r="J118" s="649"/>
      <c r="K118" s="649"/>
      <c r="L118" s="649"/>
      <c r="M118" s="650"/>
      <c r="N118" s="362">
        <f>IF(H117&lt;&gt;"",IF(N117=1,1,0),"")</f>
        <v>1</v>
      </c>
      <c r="O118" s="354">
        <f>C114</f>
        <v>184</v>
      </c>
      <c r="P118" s="361">
        <f>IF(AND(SUM(O100,O109,O118)&gt;0,OR(N100&lt;&gt;"",N109&lt;&gt;"",N118&lt;&gt;"")),(IF(N100&lt;&gt;"",N100*O100,0)+IF(N109&lt;&gt;"",N109*O109,0)+IF(N118&lt;&gt;"",N118*O118,0))/SUM(O100,O109,O118),"")</f>
        <v>0.72251867662753466</v>
      </c>
      <c r="Q118" s="354"/>
      <c r="R118" s="354"/>
      <c r="S118" s="261"/>
      <c r="T118" s="261"/>
      <c r="U118" s="261"/>
    </row>
    <row r="119" spans="1:21" ht="15" customHeight="1" x14ac:dyDescent="0.25"/>
    <row r="120" spans="1:21" ht="36.75" customHeight="1" x14ac:dyDescent="0.35">
      <c r="A120" s="629" t="s">
        <v>233</v>
      </c>
      <c r="B120" s="629"/>
      <c r="C120" s="629"/>
      <c r="D120" s="629"/>
      <c r="E120" s="629"/>
      <c r="F120" s="629"/>
      <c r="G120" s="629"/>
      <c r="H120" s="629"/>
      <c r="I120" s="629"/>
      <c r="J120" s="629"/>
      <c r="K120" s="629"/>
      <c r="L120" s="337">
        <f>IF(OR(H118&lt;&gt;"",H100&lt;&gt;""),ROUND(P118,2),"")</f>
        <v>0.72</v>
      </c>
      <c r="M120" s="338"/>
    </row>
    <row r="121" spans="1:21" ht="15" customHeight="1" x14ac:dyDescent="0.25"/>
    <row r="122" spans="1:21" ht="36.75" customHeight="1" x14ac:dyDescent="0.25">
      <c r="A122" s="630" t="s">
        <v>96</v>
      </c>
      <c r="B122" s="631"/>
      <c r="C122" s="631"/>
      <c r="D122" s="631"/>
      <c r="E122" s="631"/>
      <c r="F122" s="631"/>
      <c r="G122" s="631"/>
      <c r="H122" s="631"/>
      <c r="I122" s="631"/>
      <c r="J122" s="631"/>
      <c r="K122" s="631"/>
      <c r="L122" s="631"/>
      <c r="M122" s="631"/>
    </row>
    <row r="124" spans="1:21" s="268" customFormat="1" ht="93" customHeight="1" x14ac:dyDescent="0.2">
      <c r="A124" s="632" t="s">
        <v>63</v>
      </c>
      <c r="B124" s="623"/>
      <c r="C124" s="339" t="s">
        <v>97</v>
      </c>
      <c r="D124" s="339" t="s">
        <v>98</v>
      </c>
      <c r="E124" s="339" t="s">
        <v>99</v>
      </c>
      <c r="F124" s="339" t="s">
        <v>100</v>
      </c>
      <c r="G124" s="339" t="s">
        <v>101</v>
      </c>
      <c r="H124" s="633" t="str">
        <f>IF(C125&lt;&gt;"",IF(C125&lt;(C114+C105+C96+C55),"ERRO! N.º de alunos inscritos inferior à soma de alunos inscritos declarados nos domínios 2 e 3",""),"")</f>
        <v/>
      </c>
      <c r="I124" s="634"/>
      <c r="J124" s="634"/>
      <c r="K124" s="634"/>
      <c r="L124" s="634"/>
      <c r="M124" s="635"/>
      <c r="N124" s="356"/>
      <c r="O124" s="356"/>
      <c r="P124" s="356"/>
      <c r="Q124" s="356"/>
      <c r="R124" s="356"/>
      <c r="S124" s="267"/>
      <c r="T124" s="267"/>
      <c r="U124" s="267"/>
    </row>
    <row r="125" spans="1:21" s="260" customFormat="1" ht="18" customHeight="1" x14ac:dyDescent="0.2">
      <c r="A125" s="632" t="s">
        <v>204</v>
      </c>
      <c r="B125" s="623"/>
      <c r="C125" s="340">
        <f>IF('4_Indisciplina'!B13&lt;&gt;"",'4_Indisciplina'!B13,"")</f>
        <v>1379</v>
      </c>
      <c r="D125" s="340">
        <f>IF('4_Indisciplina'!B13&lt;&gt;"",'4_Indisciplina'!G13,"")</f>
        <v>75</v>
      </c>
      <c r="E125" s="340">
        <f>IF('4_Indisciplina'!B13&lt;&gt;"",'4_Indisciplina'!H13,"")</f>
        <v>16</v>
      </c>
      <c r="F125" s="340">
        <f>IF(C125&lt;&gt;"",SUM(D125:E125),"")</f>
        <v>91</v>
      </c>
      <c r="G125" s="341">
        <f>IF(AND(C125&lt;&gt;0,C125&lt;&gt;""),ROUND(F125/C125,2),"")</f>
        <v>7.0000000000000007E-2</v>
      </c>
      <c r="H125" s="636"/>
      <c r="I125" s="637"/>
      <c r="J125" s="637"/>
      <c r="K125" s="637"/>
      <c r="L125" s="637"/>
      <c r="M125" s="638"/>
      <c r="N125" s="354">
        <f>IF(COUNT(C125:E125)&lt;&gt;0,1,0)</f>
        <v>1</v>
      </c>
      <c r="O125" s="354"/>
      <c r="P125" s="354"/>
      <c r="Q125" s="354"/>
      <c r="R125" s="354"/>
      <c r="S125" s="261"/>
      <c r="T125" s="261"/>
      <c r="U125" s="261"/>
    </row>
    <row r="126" spans="1:21" s="260" customFormat="1" ht="23.25" customHeight="1" x14ac:dyDescent="0.2">
      <c r="A126" s="342"/>
      <c r="B126" s="639" t="s">
        <v>323</v>
      </c>
      <c r="C126" s="639"/>
      <c r="D126" s="639"/>
      <c r="E126" s="639"/>
      <c r="F126" s="639"/>
      <c r="G126" s="639"/>
      <c r="H126" s="639"/>
      <c r="I126" s="639"/>
      <c r="J126" s="639"/>
      <c r="K126" s="639"/>
      <c r="L126" s="639"/>
      <c r="M126" s="640"/>
      <c r="N126" s="354"/>
      <c r="O126" s="354"/>
      <c r="P126" s="354"/>
      <c r="Q126" s="354"/>
      <c r="R126" s="354"/>
      <c r="S126" s="261"/>
      <c r="T126" s="261"/>
      <c r="U126" s="261"/>
    </row>
    <row r="127" spans="1:21" s="289" customFormat="1" ht="23.25" customHeight="1" x14ac:dyDescent="0.25">
      <c r="A127" s="343"/>
      <c r="B127" s="614" t="s">
        <v>154</v>
      </c>
      <c r="C127" s="615"/>
      <c r="D127" s="615"/>
      <c r="E127" s="615"/>
      <c r="F127" s="616" t="s">
        <v>67</v>
      </c>
      <c r="G127" s="617"/>
      <c r="H127" s="618" t="s">
        <v>195</v>
      </c>
      <c r="I127" s="618"/>
      <c r="J127" s="618" t="s">
        <v>114</v>
      </c>
      <c r="K127" s="618"/>
      <c r="L127" s="619" t="s">
        <v>117</v>
      </c>
      <c r="M127" s="620"/>
      <c r="N127" s="358"/>
      <c r="O127" s="358"/>
      <c r="P127" s="358"/>
      <c r="Q127" s="358"/>
      <c r="R127" s="358"/>
      <c r="S127" s="288"/>
      <c r="T127" s="288"/>
      <c r="U127" s="288"/>
    </row>
    <row r="128" spans="1:21" s="260" customFormat="1" ht="76.5" customHeight="1" x14ac:dyDescent="0.2">
      <c r="A128" s="344" t="s">
        <v>113</v>
      </c>
      <c r="B128" s="621" t="s">
        <v>327</v>
      </c>
      <c r="C128" s="622"/>
      <c r="D128" s="622"/>
      <c r="E128" s="623"/>
      <c r="F128" s="624">
        <v>0.1</v>
      </c>
      <c r="G128" s="625"/>
      <c r="H128" s="624">
        <v>0.1</v>
      </c>
      <c r="I128" s="625"/>
      <c r="J128" s="626">
        <f>G125</f>
        <v>7.0000000000000007E-2</v>
      </c>
      <c r="K128" s="627"/>
      <c r="L128" s="595" t="str">
        <f>IF(N125=1,IF(AND(H128&lt;&gt;"",J128&lt;&gt;""),IF(J128&lt;=H128,"meta cumprida","meta não cumprida"),""),"")</f>
        <v>meta cumprida</v>
      </c>
      <c r="M128" s="628"/>
      <c r="N128" s="359">
        <f>IF(L128="meta cumprida",1,0)</f>
        <v>1</v>
      </c>
      <c r="O128" s="354"/>
      <c r="P128" s="354"/>
      <c r="Q128" s="354"/>
      <c r="R128" s="354"/>
      <c r="S128" s="261"/>
      <c r="T128" s="261"/>
      <c r="U128" s="261"/>
    </row>
    <row r="129" spans="1:21" s="260" customFormat="1" ht="17.25" customHeight="1" x14ac:dyDescent="0.25">
      <c r="A129" s="345"/>
      <c r="B129" s="346"/>
      <c r="C129" s="347"/>
      <c r="D129" s="347"/>
      <c r="E129" s="347"/>
      <c r="F129" s="347"/>
      <c r="G129" s="347"/>
      <c r="H129" s="595" t="str">
        <f>IF(N125=1,IF(H128&lt;&gt;"",IF(N129=1,"Foi alcançado sucesso neste indicador","Não foi alcançado sucesso neste indicador"),""),"")</f>
        <v>Foi alcançado sucesso neste indicador</v>
      </c>
      <c r="I129" s="596"/>
      <c r="J129" s="596"/>
      <c r="K129" s="596"/>
      <c r="L129" s="596"/>
      <c r="M129" s="597"/>
      <c r="N129" s="354">
        <f>IF(H128&lt;&gt;"",IF(N128=1,1,0),"")</f>
        <v>1</v>
      </c>
      <c r="O129" s="354"/>
      <c r="P129" s="360">
        <f>IF(C125&lt;&gt;"",N129,"")</f>
        <v>1</v>
      </c>
      <c r="Q129" s="354"/>
      <c r="R129" s="354"/>
      <c r="S129" s="261"/>
      <c r="T129" s="261"/>
      <c r="U129" s="261"/>
    </row>
    <row r="130" spans="1:21" ht="15" customHeight="1" x14ac:dyDescent="0.25"/>
    <row r="131" spans="1:21" ht="36.75" customHeight="1" x14ac:dyDescent="0.35">
      <c r="A131" s="598" t="s">
        <v>205</v>
      </c>
      <c r="B131" s="598"/>
      <c r="C131" s="598"/>
      <c r="D131" s="598"/>
      <c r="E131" s="598"/>
      <c r="F131" s="598"/>
      <c r="G131" s="598"/>
      <c r="H131" s="598"/>
      <c r="I131" s="598"/>
      <c r="J131" s="598"/>
      <c r="K131" s="598"/>
      <c r="L131" s="348">
        <f>IF(H129&lt;&gt;"",ROUND(P129,2),"")</f>
        <v>1</v>
      </c>
      <c r="M131" s="349"/>
    </row>
    <row r="132" spans="1:21" ht="30" customHeight="1" x14ac:dyDescent="0.25"/>
    <row r="133" spans="1:21" ht="32.25" customHeight="1" x14ac:dyDescent="0.25">
      <c r="A133" s="350"/>
      <c r="B133" s="350"/>
      <c r="C133" s="350"/>
      <c r="D133" s="350"/>
      <c r="E133" s="350"/>
      <c r="F133" s="350"/>
      <c r="G133" s="350"/>
      <c r="H133" s="350"/>
      <c r="I133" s="350"/>
      <c r="J133" s="351" t="s">
        <v>317</v>
      </c>
      <c r="K133" s="352">
        <f>IF(AND(SUM(N125,N114,N105,N96,N82,N73,N64,N55,N42,N32,N22,N12)&gt;0,N133&lt;&gt;""),ROUND(N133,2),"")</f>
        <v>0.81</v>
      </c>
      <c r="L133" s="363" t="str">
        <f>IF(K133&lt;&gt;"","pontos","")</f>
        <v>pontos</v>
      </c>
      <c r="M133" s="350"/>
      <c r="N133" s="355">
        <f>IF(AND(P129&lt;&gt;"",P118&lt;&gt;"",P87&lt;&gt;"",P47&lt;&gt;""),0.3*P129+0.3*P118+0.3*P87+0.1*P47,"")</f>
        <v>0.8131148312551344</v>
      </c>
    </row>
  </sheetData>
  <sheetProtection password="DC9F" sheet="1"/>
  <mergeCells count="265">
    <mergeCell ref="A4:M4"/>
    <mergeCell ref="A6:M6"/>
    <mergeCell ref="H16:I16"/>
    <mergeCell ref="J16:K16"/>
    <mergeCell ref="A11:B11"/>
    <mergeCell ref="A12:B12"/>
    <mergeCell ref="F14:G14"/>
    <mergeCell ref="H14:I14"/>
    <mergeCell ref="J14:K14"/>
    <mergeCell ref="L14:M14"/>
    <mergeCell ref="A9:M9"/>
    <mergeCell ref="A10:B10"/>
    <mergeCell ref="C10:G10"/>
    <mergeCell ref="H10:J10"/>
    <mergeCell ref="K10:M10"/>
    <mergeCell ref="H26:I26"/>
    <mergeCell ref="J26:K26"/>
    <mergeCell ref="A21:B21"/>
    <mergeCell ref="A22:B22"/>
    <mergeCell ref="F24:G24"/>
    <mergeCell ref="H24:I24"/>
    <mergeCell ref="J24:K24"/>
    <mergeCell ref="L24:M24"/>
    <mergeCell ref="L16:M16"/>
    <mergeCell ref="A17:E17"/>
    <mergeCell ref="H17:M17"/>
    <mergeCell ref="A19:M19"/>
    <mergeCell ref="A20:B20"/>
    <mergeCell ref="C20:G20"/>
    <mergeCell ref="H20:J20"/>
    <mergeCell ref="K20:M20"/>
    <mergeCell ref="A15:A16"/>
    <mergeCell ref="C15:E15"/>
    <mergeCell ref="F15:G15"/>
    <mergeCell ref="H15:I15"/>
    <mergeCell ref="J15:K15"/>
    <mergeCell ref="L15:M15"/>
    <mergeCell ref="C16:E16"/>
    <mergeCell ref="F16:G16"/>
    <mergeCell ref="J36:K36"/>
    <mergeCell ref="A31:B31"/>
    <mergeCell ref="A32:B32"/>
    <mergeCell ref="F34:G34"/>
    <mergeCell ref="H34:I34"/>
    <mergeCell ref="J34:K34"/>
    <mergeCell ref="L34:M34"/>
    <mergeCell ref="L26:M26"/>
    <mergeCell ref="A27:E27"/>
    <mergeCell ref="H27:M27"/>
    <mergeCell ref="B29:K29"/>
    <mergeCell ref="L29:M29"/>
    <mergeCell ref="A30:B30"/>
    <mergeCell ref="C30:D30"/>
    <mergeCell ref="E30:G30"/>
    <mergeCell ref="H30:J30"/>
    <mergeCell ref="A25:A26"/>
    <mergeCell ref="C25:E25"/>
    <mergeCell ref="F25:G25"/>
    <mergeCell ref="H25:I25"/>
    <mergeCell ref="J25:K25"/>
    <mergeCell ref="L25:M25"/>
    <mergeCell ref="C26:E26"/>
    <mergeCell ref="F26:G26"/>
    <mergeCell ref="A41:B41"/>
    <mergeCell ref="A42:B42"/>
    <mergeCell ref="F44:G44"/>
    <mergeCell ref="H44:I44"/>
    <mergeCell ref="J44:K44"/>
    <mergeCell ref="L44:M44"/>
    <mergeCell ref="L36:M36"/>
    <mergeCell ref="A37:E37"/>
    <mergeCell ref="H37:M37"/>
    <mergeCell ref="B39:K39"/>
    <mergeCell ref="L39:M39"/>
    <mergeCell ref="A40:B40"/>
    <mergeCell ref="C40:D40"/>
    <mergeCell ref="E40:G40"/>
    <mergeCell ref="H40:J40"/>
    <mergeCell ref="A35:A36"/>
    <mergeCell ref="C35:E35"/>
    <mergeCell ref="F35:G35"/>
    <mergeCell ref="H35:I35"/>
    <mergeCell ref="J35:K35"/>
    <mergeCell ref="L35:M35"/>
    <mergeCell ref="C36:E36"/>
    <mergeCell ref="F36:G36"/>
    <mergeCell ref="H36:I36"/>
    <mergeCell ref="A54:B54"/>
    <mergeCell ref="A55:B55"/>
    <mergeCell ref="A56:M56"/>
    <mergeCell ref="A57:D57"/>
    <mergeCell ref="F57:G57"/>
    <mergeCell ref="H57:I57"/>
    <mergeCell ref="J57:K57"/>
    <mergeCell ref="L57:M57"/>
    <mergeCell ref="L46:M46"/>
    <mergeCell ref="A47:E47"/>
    <mergeCell ref="H47:M47"/>
    <mergeCell ref="A49:K49"/>
    <mergeCell ref="A51:M51"/>
    <mergeCell ref="A53:M53"/>
    <mergeCell ref="A45:A46"/>
    <mergeCell ref="C45:E45"/>
    <mergeCell ref="F45:G45"/>
    <mergeCell ref="H45:I45"/>
    <mergeCell ref="J45:K45"/>
    <mergeCell ref="L45:M45"/>
    <mergeCell ref="C46:E46"/>
    <mergeCell ref="F46:G46"/>
    <mergeCell ref="H46:I46"/>
    <mergeCell ref="J46:K46"/>
    <mergeCell ref="A64:B64"/>
    <mergeCell ref="A65:M65"/>
    <mergeCell ref="A66:D66"/>
    <mergeCell ref="F66:G66"/>
    <mergeCell ref="H66:I66"/>
    <mergeCell ref="J66:K66"/>
    <mergeCell ref="L66:M66"/>
    <mergeCell ref="L59:M59"/>
    <mergeCell ref="A60:G60"/>
    <mergeCell ref="H60:M60"/>
    <mergeCell ref="A62:M62"/>
    <mergeCell ref="A63:B63"/>
    <mergeCell ref="A58:A59"/>
    <mergeCell ref="C58:E58"/>
    <mergeCell ref="F58:G58"/>
    <mergeCell ref="H58:I58"/>
    <mergeCell ref="J58:K58"/>
    <mergeCell ref="L58:M58"/>
    <mergeCell ref="C59:E59"/>
    <mergeCell ref="F59:G59"/>
    <mergeCell ref="H59:I59"/>
    <mergeCell ref="J59:K59"/>
    <mergeCell ref="A73:B73"/>
    <mergeCell ref="A74:M74"/>
    <mergeCell ref="A75:D75"/>
    <mergeCell ref="F75:G75"/>
    <mergeCell ref="H75:I75"/>
    <mergeCell ref="J75:K75"/>
    <mergeCell ref="L75:M75"/>
    <mergeCell ref="L68:M68"/>
    <mergeCell ref="A69:G69"/>
    <mergeCell ref="H69:M69"/>
    <mergeCell ref="A71:M71"/>
    <mergeCell ref="A72:B72"/>
    <mergeCell ref="A67:A68"/>
    <mergeCell ref="C67:E67"/>
    <mergeCell ref="F67:G67"/>
    <mergeCell ref="H67:I67"/>
    <mergeCell ref="J67:K67"/>
    <mergeCell ref="L67:M67"/>
    <mergeCell ref="C68:E68"/>
    <mergeCell ref="F68:G68"/>
    <mergeCell ref="H68:I68"/>
    <mergeCell ref="J68:K68"/>
    <mergeCell ref="A82:B82"/>
    <mergeCell ref="A83:M83"/>
    <mergeCell ref="A84:E84"/>
    <mergeCell ref="F84:G84"/>
    <mergeCell ref="H84:I84"/>
    <mergeCell ref="J84:K84"/>
    <mergeCell ref="L84:M84"/>
    <mergeCell ref="L77:M77"/>
    <mergeCell ref="A78:G78"/>
    <mergeCell ref="H78:M78"/>
    <mergeCell ref="A80:M80"/>
    <mergeCell ref="A81:B81"/>
    <mergeCell ref="A76:A77"/>
    <mergeCell ref="C76:E76"/>
    <mergeCell ref="F76:G76"/>
    <mergeCell ref="H76:I76"/>
    <mergeCell ref="J76:K76"/>
    <mergeCell ref="L76:M76"/>
    <mergeCell ref="C77:E77"/>
    <mergeCell ref="F77:G77"/>
    <mergeCell ref="H77:I77"/>
    <mergeCell ref="J77:K77"/>
    <mergeCell ref="C94:G94"/>
    <mergeCell ref="H94:H95"/>
    <mergeCell ref="A95:B95"/>
    <mergeCell ref="A96:B96"/>
    <mergeCell ref="I94:M96"/>
    <mergeCell ref="L86:M86"/>
    <mergeCell ref="A87:G87"/>
    <mergeCell ref="H87:M87"/>
    <mergeCell ref="A89:K89"/>
    <mergeCell ref="A91:M91"/>
    <mergeCell ref="A93:M93"/>
    <mergeCell ref="A85:A86"/>
    <mergeCell ref="C85:E85"/>
    <mergeCell ref="F85:G85"/>
    <mergeCell ref="H85:I85"/>
    <mergeCell ref="J85:K85"/>
    <mergeCell ref="L85:M85"/>
    <mergeCell ref="C86:E86"/>
    <mergeCell ref="F86:G86"/>
    <mergeCell ref="H86:I86"/>
    <mergeCell ref="J86:K86"/>
    <mergeCell ref="B97:M97"/>
    <mergeCell ref="F98:G98"/>
    <mergeCell ref="H98:I98"/>
    <mergeCell ref="J98:K98"/>
    <mergeCell ref="L98:M98"/>
    <mergeCell ref="B99:E99"/>
    <mergeCell ref="F99:G99"/>
    <mergeCell ref="H99:I99"/>
    <mergeCell ref="J99:K99"/>
    <mergeCell ref="L99:M99"/>
    <mergeCell ref="A105:B105"/>
    <mergeCell ref="B106:M106"/>
    <mergeCell ref="F107:G107"/>
    <mergeCell ref="H107:I107"/>
    <mergeCell ref="J107:K107"/>
    <mergeCell ref="L107:M107"/>
    <mergeCell ref="H100:M100"/>
    <mergeCell ref="A102:M102"/>
    <mergeCell ref="C103:G103"/>
    <mergeCell ref="H103:H104"/>
    <mergeCell ref="A104:B104"/>
    <mergeCell ref="A111:M111"/>
    <mergeCell ref="C112:G112"/>
    <mergeCell ref="H112:H113"/>
    <mergeCell ref="A113:B113"/>
    <mergeCell ref="B108:E108"/>
    <mergeCell ref="F108:G108"/>
    <mergeCell ref="H108:I108"/>
    <mergeCell ref="J108:K108"/>
    <mergeCell ref="L108:M108"/>
    <mergeCell ref="H109:M109"/>
    <mergeCell ref="B117:E117"/>
    <mergeCell ref="F117:G117"/>
    <mergeCell ref="H117:I117"/>
    <mergeCell ref="J117:K117"/>
    <mergeCell ref="L117:M117"/>
    <mergeCell ref="H118:M118"/>
    <mergeCell ref="A114:B114"/>
    <mergeCell ref="B115:M115"/>
    <mergeCell ref="F116:G116"/>
    <mergeCell ref="H116:I116"/>
    <mergeCell ref="J116:K116"/>
    <mergeCell ref="L116:M116"/>
    <mergeCell ref="H129:M129"/>
    <mergeCell ref="A131:K131"/>
    <mergeCell ref="I54:M55"/>
    <mergeCell ref="I63:M64"/>
    <mergeCell ref="I72:M73"/>
    <mergeCell ref="I81:M82"/>
    <mergeCell ref="I112:M114"/>
    <mergeCell ref="I103:M105"/>
    <mergeCell ref="B127:E127"/>
    <mergeCell ref="F127:G127"/>
    <mergeCell ref="H127:I127"/>
    <mergeCell ref="J127:K127"/>
    <mergeCell ref="L127:M127"/>
    <mergeCell ref="B128:E128"/>
    <mergeCell ref="F128:G128"/>
    <mergeCell ref="H128:I128"/>
    <mergeCell ref="J128:K128"/>
    <mergeCell ref="L128:M128"/>
    <mergeCell ref="A120:K120"/>
    <mergeCell ref="A122:M122"/>
    <mergeCell ref="A124:B124"/>
    <mergeCell ref="H124:M125"/>
    <mergeCell ref="A125:B125"/>
    <mergeCell ref="B126:M126"/>
  </mergeCells>
  <conditionalFormatting sqref="F67:G67">
    <cfRule type="expression" dxfId="50" priority="62" stopIfTrue="1">
      <formula>N67="ERRO"</formula>
    </cfRule>
  </conditionalFormatting>
  <conditionalFormatting sqref="F68:G68">
    <cfRule type="expression" dxfId="49" priority="61" stopIfTrue="1">
      <formula>N68="ERRO"</formula>
    </cfRule>
  </conditionalFormatting>
  <conditionalFormatting sqref="F76:G76">
    <cfRule type="expression" dxfId="48" priority="60" stopIfTrue="1">
      <formula>N76="ERRO"</formula>
    </cfRule>
  </conditionalFormatting>
  <conditionalFormatting sqref="F77:G77">
    <cfRule type="expression" dxfId="47" priority="59" stopIfTrue="1">
      <formula>N77="ERRO"</formula>
    </cfRule>
  </conditionalFormatting>
  <conditionalFormatting sqref="F85:G85">
    <cfRule type="expression" dxfId="46" priority="58" stopIfTrue="1">
      <formula>N85="ERRO"</formula>
    </cfRule>
  </conditionalFormatting>
  <conditionalFormatting sqref="F86:G86">
    <cfRule type="expression" dxfId="45" priority="57" stopIfTrue="1">
      <formula>N86="ERRO"</formula>
    </cfRule>
  </conditionalFormatting>
  <conditionalFormatting sqref="F117:G117">
    <cfRule type="expression" dxfId="44" priority="56" stopIfTrue="1">
      <formula>N117="ERRO"</formula>
    </cfRule>
  </conditionalFormatting>
  <conditionalFormatting sqref="L15:M16 L25:M26 L35:M36 L45:L46">
    <cfRule type="cellIs" dxfId="43" priority="55" stopIfTrue="1" operator="equal">
      <formula>"Submeta não cumprida"</formula>
    </cfRule>
  </conditionalFormatting>
  <conditionalFormatting sqref="H37">
    <cfRule type="expression" dxfId="42" priority="54" stopIfTrue="1">
      <formula>$N$37=0</formula>
    </cfRule>
  </conditionalFormatting>
  <conditionalFormatting sqref="L58:L59 L67:L68 L76:L77 L85:L86">
    <cfRule type="cellIs" dxfId="41" priority="53" stopIfTrue="1" operator="equal">
      <formula>"Submeta não cumprida"</formula>
    </cfRule>
  </conditionalFormatting>
  <conditionalFormatting sqref="H60:M60">
    <cfRule type="expression" dxfId="40" priority="52" stopIfTrue="1">
      <formula>$N$60=0</formula>
    </cfRule>
  </conditionalFormatting>
  <conditionalFormatting sqref="H69:M69">
    <cfRule type="expression" dxfId="39" priority="51" stopIfTrue="1">
      <formula>$N$69=0</formula>
    </cfRule>
  </conditionalFormatting>
  <conditionalFormatting sqref="F76:G76">
    <cfRule type="expression" dxfId="38" priority="50" stopIfTrue="1">
      <formula>N76="ERRO"</formula>
    </cfRule>
  </conditionalFormatting>
  <conditionalFormatting sqref="F77:G77">
    <cfRule type="expression" dxfId="37" priority="49" stopIfTrue="1">
      <formula>N77="ERRO"</formula>
    </cfRule>
  </conditionalFormatting>
  <conditionalFormatting sqref="H78:M78">
    <cfRule type="expression" dxfId="36" priority="48" stopIfTrue="1">
      <formula>N78=0</formula>
    </cfRule>
  </conditionalFormatting>
  <conditionalFormatting sqref="F85:G85">
    <cfRule type="expression" dxfId="35" priority="47" stopIfTrue="1">
      <formula>N85="ERRO"</formula>
    </cfRule>
  </conditionalFormatting>
  <conditionalFormatting sqref="F86:G86">
    <cfRule type="expression" dxfId="34" priority="46" stopIfTrue="1">
      <formula>N86="ERRO"</formula>
    </cfRule>
  </conditionalFormatting>
  <conditionalFormatting sqref="H87:M87">
    <cfRule type="expression" dxfId="33" priority="45" stopIfTrue="1">
      <formula>$N$87=0</formula>
    </cfRule>
  </conditionalFormatting>
  <conditionalFormatting sqref="H17:M17">
    <cfRule type="expression" dxfId="32" priority="40" stopIfTrue="1">
      <formula>$N$17=0</formula>
    </cfRule>
  </conditionalFormatting>
  <conditionalFormatting sqref="H27:M27">
    <cfRule type="expression" dxfId="31" priority="39" stopIfTrue="1">
      <formula>$N$27=0</formula>
    </cfRule>
  </conditionalFormatting>
  <conditionalFormatting sqref="H47:M47">
    <cfRule type="expression" dxfId="30" priority="38" stopIfTrue="1">
      <formula>$N$47=0</formula>
    </cfRule>
  </conditionalFormatting>
  <conditionalFormatting sqref="L128 L99 L117">
    <cfRule type="cellIs" dxfId="29" priority="37" stopIfTrue="1" operator="equal">
      <formula>"meta não cumprida"</formula>
    </cfRule>
  </conditionalFormatting>
  <conditionalFormatting sqref="H100:M102 J108:M109 H109:I109">
    <cfRule type="expression" dxfId="28" priority="36" stopIfTrue="1">
      <formula>$N$100=0</formula>
    </cfRule>
  </conditionalFormatting>
  <conditionalFormatting sqref="H118:M118">
    <cfRule type="expression" dxfId="27" priority="35" stopIfTrue="1">
      <formula>$N$118=0</formula>
    </cfRule>
  </conditionalFormatting>
  <conditionalFormatting sqref="H129:M129">
    <cfRule type="expression" dxfId="26" priority="34" stopIfTrue="1">
      <formula>$N$129=0</formula>
    </cfRule>
  </conditionalFormatting>
  <conditionalFormatting sqref="H17:M17">
    <cfRule type="expression" dxfId="25" priority="26" stopIfTrue="1">
      <formula>#REF!=0</formula>
    </cfRule>
  </conditionalFormatting>
  <conditionalFormatting sqref="H17:M17">
    <cfRule type="expression" dxfId="24" priority="25" stopIfTrue="1">
      <formula>#REF!=0</formula>
    </cfRule>
  </conditionalFormatting>
  <conditionalFormatting sqref="H17:M17">
    <cfRule type="expression" dxfId="23" priority="24" stopIfTrue="1">
      <formula>#REF!=0</formula>
    </cfRule>
  </conditionalFormatting>
  <conditionalFormatting sqref="H17:M17">
    <cfRule type="expression" dxfId="22" priority="23" stopIfTrue="1">
      <formula>#REF!=0</formula>
    </cfRule>
  </conditionalFormatting>
  <conditionalFormatting sqref="H27:M27">
    <cfRule type="expression" dxfId="21" priority="22" stopIfTrue="1">
      <formula>$N$17=0</formula>
    </cfRule>
  </conditionalFormatting>
  <conditionalFormatting sqref="H27:M27">
    <cfRule type="expression" dxfId="20" priority="21" stopIfTrue="1">
      <formula>#REF!=0</formula>
    </cfRule>
  </conditionalFormatting>
  <conditionalFormatting sqref="H27:M27">
    <cfRule type="expression" dxfId="19" priority="20" stopIfTrue="1">
      <formula>#REF!=0</formula>
    </cfRule>
  </conditionalFormatting>
  <conditionalFormatting sqref="H27:M27">
    <cfRule type="expression" dxfId="18" priority="19" stopIfTrue="1">
      <formula>#REF!=0</formula>
    </cfRule>
  </conditionalFormatting>
  <conditionalFormatting sqref="H27:M27">
    <cfRule type="expression" dxfId="17" priority="18" stopIfTrue="1">
      <formula>#REF!=0</formula>
    </cfRule>
  </conditionalFormatting>
  <conditionalFormatting sqref="H37:M37">
    <cfRule type="expression" dxfId="16" priority="17" stopIfTrue="1">
      <formula>$N$27=0</formula>
    </cfRule>
  </conditionalFormatting>
  <conditionalFormatting sqref="H37:M37">
    <cfRule type="expression" dxfId="15" priority="16" stopIfTrue="1">
      <formula>$N$17=0</formula>
    </cfRule>
  </conditionalFormatting>
  <conditionalFormatting sqref="H37:M37">
    <cfRule type="expression" dxfId="14" priority="15" stopIfTrue="1">
      <formula>#REF!=0</formula>
    </cfRule>
  </conditionalFormatting>
  <conditionalFormatting sqref="H37:M37">
    <cfRule type="expression" dxfId="13" priority="14" stopIfTrue="1">
      <formula>#REF!=0</formula>
    </cfRule>
  </conditionalFormatting>
  <conditionalFormatting sqref="H37:M37">
    <cfRule type="expression" dxfId="12" priority="13" stopIfTrue="1">
      <formula>#REF!=0</formula>
    </cfRule>
  </conditionalFormatting>
  <conditionalFormatting sqref="H37:M37">
    <cfRule type="expression" dxfId="11" priority="12" stopIfTrue="1">
      <formula>#REF!=0</formula>
    </cfRule>
  </conditionalFormatting>
  <conditionalFormatting sqref="H47">
    <cfRule type="expression" dxfId="10" priority="11" stopIfTrue="1">
      <formula>$N$37=0</formula>
    </cfRule>
  </conditionalFormatting>
  <conditionalFormatting sqref="H47:M47">
    <cfRule type="expression" dxfId="9" priority="10" stopIfTrue="1">
      <formula>$N$27=0</formula>
    </cfRule>
  </conditionalFormatting>
  <conditionalFormatting sqref="H47:M47">
    <cfRule type="expression" dxfId="8" priority="9" stopIfTrue="1">
      <formula>$N$17=0</formula>
    </cfRule>
  </conditionalFormatting>
  <conditionalFormatting sqref="H47:M47">
    <cfRule type="expression" dxfId="7" priority="8" stopIfTrue="1">
      <formula>#REF!=0</formula>
    </cfRule>
  </conditionalFormatting>
  <conditionalFormatting sqref="H47:M47">
    <cfRule type="expression" dxfId="6" priority="7" stopIfTrue="1">
      <formula>#REF!=0</formula>
    </cfRule>
  </conditionalFormatting>
  <conditionalFormatting sqref="H47:M47">
    <cfRule type="expression" dxfId="5" priority="6" stopIfTrue="1">
      <formula>#REF!=0</formula>
    </cfRule>
  </conditionalFormatting>
  <conditionalFormatting sqref="H47:M47">
    <cfRule type="expression" dxfId="4" priority="5" stopIfTrue="1">
      <formula>#REF!=0</formula>
    </cfRule>
  </conditionalFormatting>
  <conditionalFormatting sqref="F108:G108">
    <cfRule type="expression" dxfId="3" priority="4" stopIfTrue="1">
      <formula>N108="ERRO"</formula>
    </cfRule>
  </conditionalFormatting>
  <conditionalFormatting sqref="L108">
    <cfRule type="cellIs" dxfId="2" priority="3" stopIfTrue="1" operator="equal">
      <formula>"meta não cumprida"</formula>
    </cfRule>
  </conditionalFormatting>
  <conditionalFormatting sqref="H109:M109">
    <cfRule type="expression" dxfId="1" priority="2" stopIfTrue="1">
      <formula>$N$118=0</formula>
    </cfRule>
  </conditionalFormatting>
  <conditionalFormatting sqref="L108">
    <cfRule type="cellIs" dxfId="0" priority="1" stopIfTrue="1" operator="equal">
      <formula>"meta não cumprida"</formula>
    </cfRule>
  </conditionalFormatting>
  <hyperlinks>
    <hyperlink ref="J2" location="Início!A1" display="Início"/>
    <hyperlink ref="L2" location="'6_Observações'!A1" display="Seguinte"/>
    <hyperlink ref="K2" location="'4_Indisciplina'!A1" display="Anterior"/>
  </hyperlinks>
  <printOptions horizontalCentered="1" verticalCentered="1"/>
  <pageMargins left="0.27559055118110237" right="0.15748031496062992" top="0.19685039370078741" bottom="0.31496062992125984" header="0.15748031496062992" footer="0.31496062992125984"/>
  <pageSetup paperSize="9" scale="95" orientation="landscape" r:id="rId1"/>
  <headerFooter>
    <oddHeader>&amp;C&amp;"Arial,Negrito"&amp;16Relatório TEIP 2014 / 2015</oddHeader>
  </headerFooter>
  <rowBreaks count="12" manualBreakCount="12">
    <brk id="8" max="16383" man="1"/>
    <brk id="18" max="16383" man="1"/>
    <brk id="28" max="16383" man="1"/>
    <brk id="38" max="16383" man="1"/>
    <brk id="50" max="16383" man="1"/>
    <brk id="61" max="16383" man="1"/>
    <brk id="70" max="16383" man="1"/>
    <brk id="79" max="16383" man="1"/>
    <brk id="90" max="16383" man="1"/>
    <brk id="101" max="16383" man="1"/>
    <brk id="110" max="16383" man="1"/>
    <brk id="12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1">
    <pageSetUpPr fitToPage="1"/>
  </sheetPr>
  <dimension ref="A1:I12"/>
  <sheetViews>
    <sheetView showGridLines="0" tabSelected="1" workbookViewId="0">
      <selection activeCell="D13" sqref="D13"/>
    </sheetView>
  </sheetViews>
  <sheetFormatPr defaultRowHeight="12.75" x14ac:dyDescent="0.2"/>
  <cols>
    <col min="1" max="1" width="3.85546875" customWidth="1"/>
    <col min="2" max="7" width="15.7109375" customWidth="1"/>
    <col min="8" max="8" width="3.85546875" customWidth="1"/>
  </cols>
  <sheetData>
    <row r="1" spans="1:9" s="13" customFormat="1" ht="30" customHeight="1" x14ac:dyDescent="0.2">
      <c r="A1" s="775" t="str">
        <f>IF(Início!B6&lt;&gt;"",Início!B6,"")</f>
        <v>Agrupamento de Escolas Maximinos</v>
      </c>
      <c r="B1" s="527"/>
      <c r="C1" s="527"/>
      <c r="D1" s="527"/>
      <c r="E1" s="527"/>
      <c r="F1" s="527"/>
      <c r="G1" s="32">
        <f>IF(Início!G5&gt;0,Início!G5,"")</f>
        <v>303089</v>
      </c>
      <c r="H1" s="29"/>
      <c r="I1" s="16"/>
    </row>
    <row r="2" spans="1:9" x14ac:dyDescent="0.2">
      <c r="E2" s="60" t="s">
        <v>17</v>
      </c>
      <c r="F2" s="60" t="s">
        <v>19</v>
      </c>
      <c r="G2" s="60" t="s">
        <v>18</v>
      </c>
      <c r="H2" s="43"/>
      <c r="I2" s="43"/>
    </row>
    <row r="3" spans="1:9" ht="27" customHeight="1" x14ac:dyDescent="0.2">
      <c r="A3" s="549" t="s">
        <v>290</v>
      </c>
      <c r="B3" s="550"/>
      <c r="C3" s="550"/>
      <c r="D3" s="550"/>
      <c r="E3" s="550"/>
      <c r="F3" s="550"/>
      <c r="G3" s="550"/>
      <c r="H3" s="550"/>
    </row>
    <row r="4" spans="1:9" ht="15" x14ac:dyDescent="0.25">
      <c r="B4" s="1"/>
    </row>
    <row r="5" spans="1:9" ht="159.75" customHeight="1" x14ac:dyDescent="0.25">
      <c r="B5" s="773" t="s">
        <v>377</v>
      </c>
      <c r="C5" s="774"/>
      <c r="D5" s="774"/>
      <c r="E5" s="774"/>
      <c r="F5" s="774"/>
      <c r="G5" s="774"/>
    </row>
    <row r="6" spans="1:9" x14ac:dyDescent="0.2">
      <c r="B6" s="5"/>
      <c r="C6" s="5"/>
      <c r="D6" s="5"/>
      <c r="E6" s="5"/>
      <c r="F6" s="5"/>
      <c r="G6" s="5"/>
    </row>
    <row r="7" spans="1:9" x14ac:dyDescent="0.2">
      <c r="B7" s="3"/>
      <c r="C7" s="3"/>
      <c r="D7" s="3"/>
      <c r="E7" s="3"/>
      <c r="F7" s="3"/>
      <c r="G7" s="3"/>
    </row>
    <row r="8" spans="1:9" x14ac:dyDescent="0.2">
      <c r="B8" s="3"/>
      <c r="C8" s="3"/>
      <c r="D8" s="3"/>
      <c r="E8" s="3"/>
      <c r="F8" s="3"/>
      <c r="G8" s="3"/>
    </row>
    <row r="9" spans="1:9" ht="15" x14ac:dyDescent="0.25">
      <c r="B9" s="1"/>
    </row>
    <row r="10" spans="1:9" ht="15" x14ac:dyDescent="0.25">
      <c r="B10" s="1"/>
    </row>
    <row r="11" spans="1:9" ht="15" x14ac:dyDescent="0.25">
      <c r="B11" s="1"/>
    </row>
    <row r="12" spans="1:9" ht="15" x14ac:dyDescent="0.25">
      <c r="B12" s="1"/>
    </row>
  </sheetData>
  <sheetProtection password="DC9F" sheet="1" objects="1" scenarios="1" formatRows="0"/>
  <mergeCells count="3">
    <mergeCell ref="B5:G5"/>
    <mergeCell ref="A3:H3"/>
    <mergeCell ref="A1:F1"/>
  </mergeCells>
  <phoneticPr fontId="14" type="noConversion"/>
  <hyperlinks>
    <hyperlink ref="E2" location="Início!A1" display="Início"/>
    <hyperlink ref="F2" location="'5.1 - Metas Gerais'!A1" display="Anterior"/>
    <hyperlink ref="G2" location="'Anexo_I_Plano_Cap 2016_17'!A1" display="Seguinte"/>
  </hyperlinks>
  <printOptions horizontalCentered="1"/>
  <pageMargins left="0.15748031496062992" right="0.19685039370078741" top="0.98425196850393704" bottom="0.59055118110236227" header="0.31496062992125984" footer="0.31496062992125984"/>
  <pageSetup paperSize="9" scale="99" orientation="portrait" r:id="rId1"/>
  <headerFooter alignWithMargins="0">
    <oddHeader>&amp;C&amp;"Calibri,Negrito"&amp;16Relatório TEIP 2015/2016</oddHeader>
    <oddFooter>&amp;RPág.&amp;P de &amp;N da secção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T63"/>
  <sheetViews>
    <sheetView showGridLines="0" zoomScaleNormal="100" workbookViewId="0">
      <selection activeCell="B23" sqref="B23:D24"/>
    </sheetView>
  </sheetViews>
  <sheetFormatPr defaultRowHeight="12.75" x14ac:dyDescent="0.2"/>
  <cols>
    <col min="1" max="1" width="1.7109375" style="144" customWidth="1"/>
    <col min="2" max="4" width="15.7109375" style="144" customWidth="1"/>
    <col min="5" max="5" width="2.5703125" style="144" customWidth="1"/>
    <col min="6" max="6" width="13.5703125" style="144" customWidth="1"/>
    <col min="7" max="7" width="21.42578125" style="144" customWidth="1"/>
    <col min="8" max="9" width="9.28515625" style="144" customWidth="1"/>
    <col min="10" max="11" width="9.140625" style="144"/>
    <col min="12" max="12" width="10" style="144" customWidth="1"/>
    <col min="13" max="13" width="9.85546875" style="144" customWidth="1"/>
    <col min="14" max="14" width="20.42578125" style="144" customWidth="1"/>
    <col min="15" max="16" width="34.28515625" style="144" customWidth="1"/>
    <col min="17" max="17" width="1.42578125" style="144" customWidth="1"/>
    <col min="18" max="18" width="9.140625" style="144"/>
    <col min="19" max="19" width="9.140625" style="144" customWidth="1"/>
    <col min="20" max="20" width="47.85546875" style="393" hidden="1" customWidth="1"/>
    <col min="21" max="16384" width="9.140625" style="144"/>
  </cols>
  <sheetData>
    <row r="1" spans="1:20" s="39" customFormat="1" ht="30" customHeight="1" x14ac:dyDescent="0.2">
      <c r="A1" s="141" t="str">
        <f>IF(Início!B6&lt;&gt;"",Início!B6,"")</f>
        <v>Agrupamento de Escolas Maximinos</v>
      </c>
      <c r="B1" s="142"/>
      <c r="C1" s="143"/>
      <c r="D1" s="143"/>
      <c r="E1" s="142"/>
      <c r="F1" s="142"/>
      <c r="G1" s="142"/>
      <c r="H1" s="142"/>
      <c r="I1" s="142"/>
      <c r="J1" s="147">
        <f>IF(Início!G5&gt;0,Início!G5,"")</f>
        <v>303089</v>
      </c>
      <c r="K1" s="142"/>
      <c r="L1" s="142"/>
      <c r="M1" s="142"/>
      <c r="N1" s="142"/>
      <c r="O1" s="142"/>
      <c r="P1" s="142"/>
      <c r="Q1" s="142"/>
      <c r="T1" s="156" t="s">
        <v>329</v>
      </c>
    </row>
    <row r="2" spans="1:20" x14ac:dyDescent="0.2">
      <c r="I2" s="145" t="s">
        <v>17</v>
      </c>
      <c r="J2" s="145" t="s">
        <v>19</v>
      </c>
      <c r="K2" s="145" t="s">
        <v>18</v>
      </c>
      <c r="T2" s="156" t="s">
        <v>330</v>
      </c>
    </row>
    <row r="3" spans="1:20" ht="22.5" customHeight="1" x14ac:dyDescent="0.2">
      <c r="A3" s="784" t="s">
        <v>249</v>
      </c>
      <c r="B3" s="785"/>
      <c r="C3" s="785"/>
      <c r="D3" s="785"/>
      <c r="E3" s="785"/>
      <c r="F3" s="785"/>
      <c r="G3" s="785"/>
      <c r="H3" s="785"/>
      <c r="I3" s="785"/>
      <c r="J3" s="785"/>
      <c r="K3" s="785"/>
      <c r="L3" s="148"/>
      <c r="M3" s="148"/>
      <c r="N3" s="148"/>
      <c r="O3" s="148"/>
      <c r="P3" s="148"/>
      <c r="Q3" s="148"/>
      <c r="T3" s="156" t="s">
        <v>331</v>
      </c>
    </row>
    <row r="4" spans="1:20" ht="15" x14ac:dyDescent="0.25">
      <c r="B4" s="149"/>
      <c r="T4" s="156" t="s">
        <v>332</v>
      </c>
    </row>
    <row r="5" spans="1:20" ht="22.5" customHeight="1" x14ac:dyDescent="0.2">
      <c r="A5" s="784" t="s">
        <v>235</v>
      </c>
      <c r="B5" s="785"/>
      <c r="C5" s="785"/>
      <c r="D5" s="785"/>
      <c r="E5" s="785"/>
      <c r="F5" s="785"/>
      <c r="G5" s="785"/>
      <c r="H5" s="785"/>
      <c r="I5" s="785"/>
      <c r="J5" s="785"/>
      <c r="K5" s="785"/>
      <c r="L5" s="785"/>
      <c r="M5" s="785"/>
      <c r="N5" s="785"/>
      <c r="O5" s="785"/>
      <c r="P5" s="785"/>
      <c r="Q5" s="785"/>
      <c r="T5" s="156" t="s">
        <v>333</v>
      </c>
    </row>
    <row r="6" spans="1:20" s="112" customFormat="1" ht="7.5" customHeight="1" x14ac:dyDescent="0.2">
      <c r="T6" s="156" t="s">
        <v>334</v>
      </c>
    </row>
    <row r="7" spans="1:20" s="153" customFormat="1" ht="47.25" customHeight="1" x14ac:dyDescent="0.2">
      <c r="A7" s="150"/>
      <c r="B7" s="786" t="s">
        <v>236</v>
      </c>
      <c r="C7" s="787"/>
      <c r="D7" s="787"/>
      <c r="E7" s="788" t="s">
        <v>237</v>
      </c>
      <c r="F7" s="788"/>
      <c r="G7" s="151" t="s">
        <v>178</v>
      </c>
      <c r="H7" s="151" t="s">
        <v>238</v>
      </c>
      <c r="I7" s="151" t="s">
        <v>239</v>
      </c>
      <c r="J7" s="151" t="s">
        <v>240</v>
      </c>
      <c r="K7" s="151" t="s">
        <v>241</v>
      </c>
      <c r="L7" s="151" t="s">
        <v>147</v>
      </c>
      <c r="M7" s="151" t="s">
        <v>242</v>
      </c>
      <c r="N7" s="151" t="s">
        <v>243</v>
      </c>
      <c r="O7" s="152" t="s">
        <v>244</v>
      </c>
      <c r="P7" s="152" t="s">
        <v>245</v>
      </c>
      <c r="T7" s="173" t="s">
        <v>335</v>
      </c>
    </row>
    <row r="8" spans="1:20" s="156" customFormat="1" ht="27.75" customHeight="1" x14ac:dyDescent="0.2">
      <c r="A8" s="789"/>
      <c r="B8" s="780" t="s">
        <v>365</v>
      </c>
      <c r="C8" s="780"/>
      <c r="D8" s="780"/>
      <c r="E8" s="154" t="s">
        <v>148</v>
      </c>
      <c r="F8" s="155" t="s">
        <v>359</v>
      </c>
      <c r="G8" s="780" t="s">
        <v>367</v>
      </c>
      <c r="H8" s="790">
        <v>5</v>
      </c>
      <c r="I8" s="792">
        <v>42430</v>
      </c>
      <c r="J8" s="776">
        <v>1</v>
      </c>
      <c r="K8" s="776">
        <v>3</v>
      </c>
      <c r="L8" s="778" t="s">
        <v>334</v>
      </c>
      <c r="M8" s="776">
        <v>100</v>
      </c>
      <c r="N8" s="780" t="s">
        <v>368</v>
      </c>
      <c r="O8" s="782" t="s">
        <v>369</v>
      </c>
      <c r="P8" s="782" t="s">
        <v>370</v>
      </c>
    </row>
    <row r="9" spans="1:20" s="156" customFormat="1" ht="27.75" customHeight="1" x14ac:dyDescent="0.2">
      <c r="A9" s="789"/>
      <c r="B9" s="781"/>
      <c r="C9" s="781"/>
      <c r="D9" s="781"/>
      <c r="E9" s="157" t="s">
        <v>149</v>
      </c>
      <c r="F9" s="158" t="s">
        <v>366</v>
      </c>
      <c r="G9" s="781"/>
      <c r="H9" s="791"/>
      <c r="I9" s="781"/>
      <c r="J9" s="777"/>
      <c r="K9" s="777"/>
      <c r="L9" s="779"/>
      <c r="M9" s="777"/>
      <c r="N9" s="781"/>
      <c r="O9" s="783"/>
      <c r="P9" s="783"/>
    </row>
    <row r="10" spans="1:20" s="156" customFormat="1" ht="27.75" customHeight="1" x14ac:dyDescent="0.2">
      <c r="A10" s="789"/>
      <c r="B10" s="780"/>
      <c r="C10" s="780"/>
      <c r="D10" s="780"/>
      <c r="E10" s="154" t="s">
        <v>148</v>
      </c>
      <c r="F10" s="155"/>
      <c r="G10" s="780"/>
      <c r="H10" s="780"/>
      <c r="I10" s="792"/>
      <c r="J10" s="776"/>
      <c r="K10" s="776"/>
      <c r="L10" s="778"/>
      <c r="M10" s="776"/>
      <c r="N10" s="780"/>
      <c r="O10" s="782"/>
      <c r="P10" s="782"/>
    </row>
    <row r="11" spans="1:20" s="156" customFormat="1" ht="27.75" customHeight="1" x14ac:dyDescent="0.2">
      <c r="A11" s="789"/>
      <c r="B11" s="781"/>
      <c r="C11" s="781"/>
      <c r="D11" s="781"/>
      <c r="E11" s="157" t="s">
        <v>149</v>
      </c>
      <c r="F11" s="158"/>
      <c r="G11" s="781"/>
      <c r="H11" s="781"/>
      <c r="I11" s="781"/>
      <c r="J11" s="777"/>
      <c r="K11" s="777"/>
      <c r="L11" s="779"/>
      <c r="M11" s="777"/>
      <c r="N11" s="781"/>
      <c r="O11" s="783"/>
      <c r="P11" s="783"/>
    </row>
    <row r="12" spans="1:20" s="156" customFormat="1" ht="27.75" customHeight="1" x14ac:dyDescent="0.2">
      <c r="A12" s="789"/>
      <c r="B12" s="780"/>
      <c r="C12" s="780"/>
      <c r="D12" s="780"/>
      <c r="E12" s="154" t="s">
        <v>148</v>
      </c>
      <c r="F12" s="155"/>
      <c r="G12" s="780"/>
      <c r="H12" s="780"/>
      <c r="I12" s="792"/>
      <c r="J12" s="776"/>
      <c r="K12" s="776"/>
      <c r="L12" s="778"/>
      <c r="M12" s="776"/>
      <c r="N12" s="780"/>
      <c r="O12" s="782"/>
      <c r="P12" s="782"/>
    </row>
    <row r="13" spans="1:20" s="156" customFormat="1" ht="27.75" customHeight="1" x14ac:dyDescent="0.2">
      <c r="A13" s="789"/>
      <c r="B13" s="781"/>
      <c r="C13" s="781"/>
      <c r="D13" s="781"/>
      <c r="E13" s="157" t="s">
        <v>149</v>
      </c>
      <c r="F13" s="158"/>
      <c r="G13" s="781"/>
      <c r="H13" s="781"/>
      <c r="I13" s="781"/>
      <c r="J13" s="777"/>
      <c r="K13" s="777"/>
      <c r="L13" s="779"/>
      <c r="M13" s="777"/>
      <c r="N13" s="781"/>
      <c r="O13" s="783"/>
      <c r="P13" s="783"/>
    </row>
    <row r="14" spans="1:20" s="112" customFormat="1" x14ac:dyDescent="0.2">
      <c r="A14" s="159"/>
    </row>
    <row r="15" spans="1:20" ht="15" x14ac:dyDescent="0.25">
      <c r="B15" s="149"/>
    </row>
    <row r="16" spans="1:20" ht="22.5" customHeight="1" x14ac:dyDescent="0.2">
      <c r="A16" s="784" t="s">
        <v>246</v>
      </c>
      <c r="B16" s="785"/>
      <c r="C16" s="785"/>
      <c r="D16" s="785"/>
      <c r="E16" s="785"/>
      <c r="F16" s="785"/>
      <c r="G16" s="785"/>
      <c r="H16" s="785"/>
      <c r="I16" s="785"/>
      <c r="J16" s="785"/>
      <c r="K16" s="785"/>
      <c r="L16" s="785"/>
      <c r="M16" s="785"/>
      <c r="N16" s="785"/>
      <c r="O16" s="785"/>
      <c r="P16" s="785"/>
      <c r="Q16" s="785"/>
    </row>
    <row r="17" spans="1:20" s="112" customFormat="1" ht="7.5" customHeight="1" x14ac:dyDescent="0.2">
      <c r="T17" s="173"/>
    </row>
    <row r="18" spans="1:20" s="153" customFormat="1" ht="47.25" customHeight="1" x14ac:dyDescent="0.2">
      <c r="A18" s="150"/>
      <c r="B18" s="786" t="s">
        <v>236</v>
      </c>
      <c r="C18" s="787"/>
      <c r="D18" s="787"/>
      <c r="E18" s="788" t="s">
        <v>237</v>
      </c>
      <c r="F18" s="788"/>
      <c r="G18" s="151" t="s">
        <v>178</v>
      </c>
      <c r="H18" s="151" t="s">
        <v>146</v>
      </c>
      <c r="I18" s="151" t="s">
        <v>239</v>
      </c>
      <c r="J18" s="151" t="s">
        <v>240</v>
      </c>
      <c r="K18" s="151" t="s">
        <v>241</v>
      </c>
      <c r="L18" s="151" t="s">
        <v>147</v>
      </c>
      <c r="M18" s="151" t="s">
        <v>242</v>
      </c>
      <c r="N18" s="151" t="s">
        <v>243</v>
      </c>
      <c r="O18" s="152" t="s">
        <v>244</v>
      </c>
      <c r="P18" s="152" t="s">
        <v>245</v>
      </c>
    </row>
    <row r="19" spans="1:20" s="156" customFormat="1" ht="27.75" customHeight="1" x14ac:dyDescent="0.2">
      <c r="A19" s="789"/>
      <c r="B19" s="780" t="s">
        <v>358</v>
      </c>
      <c r="C19" s="780"/>
      <c r="D19" s="780"/>
      <c r="E19" s="154" t="s">
        <v>148</v>
      </c>
      <c r="F19" s="155" t="s">
        <v>359</v>
      </c>
      <c r="G19" s="780" t="s">
        <v>361</v>
      </c>
      <c r="H19" s="790">
        <v>50</v>
      </c>
      <c r="I19" s="792">
        <v>42559</v>
      </c>
      <c r="J19" s="776">
        <v>8</v>
      </c>
      <c r="K19" s="776">
        <v>50</v>
      </c>
      <c r="L19" s="778" t="s">
        <v>329</v>
      </c>
      <c r="M19" s="776">
        <v>11</v>
      </c>
      <c r="N19" s="780" t="s">
        <v>362</v>
      </c>
      <c r="O19" s="782" t="s">
        <v>363</v>
      </c>
      <c r="P19" s="782" t="s">
        <v>364</v>
      </c>
    </row>
    <row r="20" spans="1:20" s="156" customFormat="1" ht="27.75" customHeight="1" x14ac:dyDescent="0.2">
      <c r="A20" s="789"/>
      <c r="B20" s="781"/>
      <c r="C20" s="781"/>
      <c r="D20" s="781"/>
      <c r="E20" s="157" t="s">
        <v>149</v>
      </c>
      <c r="F20" s="158" t="s">
        <v>360</v>
      </c>
      <c r="G20" s="781"/>
      <c r="H20" s="791"/>
      <c r="I20" s="781"/>
      <c r="J20" s="777"/>
      <c r="K20" s="777"/>
      <c r="L20" s="779"/>
      <c r="M20" s="777"/>
      <c r="N20" s="781"/>
      <c r="O20" s="783"/>
      <c r="P20" s="783"/>
    </row>
    <row r="21" spans="1:20" s="156" customFormat="1" ht="27.75" customHeight="1" x14ac:dyDescent="0.2">
      <c r="A21" s="789"/>
      <c r="B21" s="780"/>
      <c r="C21" s="780"/>
      <c r="D21" s="780"/>
      <c r="E21" s="154" t="s">
        <v>148</v>
      </c>
      <c r="F21" s="155"/>
      <c r="G21" s="780"/>
      <c r="H21" s="780"/>
      <c r="I21" s="792"/>
      <c r="J21" s="776"/>
      <c r="K21" s="776"/>
      <c r="L21" s="778"/>
      <c r="M21" s="776"/>
      <c r="N21" s="780"/>
      <c r="O21" s="782"/>
      <c r="P21" s="782"/>
    </row>
    <row r="22" spans="1:20" s="156" customFormat="1" ht="30.75" customHeight="1" x14ac:dyDescent="0.2">
      <c r="A22" s="789"/>
      <c r="B22" s="781"/>
      <c r="C22" s="781"/>
      <c r="D22" s="781"/>
      <c r="E22" s="157" t="s">
        <v>149</v>
      </c>
      <c r="F22" s="158"/>
      <c r="G22" s="781"/>
      <c r="H22" s="781"/>
      <c r="I22" s="781"/>
      <c r="J22" s="777"/>
      <c r="K22" s="777"/>
      <c r="L22" s="779"/>
      <c r="M22" s="777"/>
      <c r="N22" s="781"/>
      <c r="O22" s="783"/>
      <c r="P22" s="783"/>
    </row>
    <row r="23" spans="1:20" s="156" customFormat="1" ht="27.75" customHeight="1" x14ac:dyDescent="0.2">
      <c r="A23" s="789"/>
      <c r="B23" s="780"/>
      <c r="C23" s="780"/>
      <c r="D23" s="780"/>
      <c r="E23" s="154" t="s">
        <v>148</v>
      </c>
      <c r="F23" s="155"/>
      <c r="G23" s="780"/>
      <c r="H23" s="780"/>
      <c r="I23" s="792"/>
      <c r="J23" s="776"/>
      <c r="K23" s="776"/>
      <c r="L23" s="778"/>
      <c r="M23" s="776"/>
      <c r="N23" s="780"/>
      <c r="O23" s="782"/>
      <c r="P23" s="782"/>
    </row>
    <row r="24" spans="1:20" s="156" customFormat="1" ht="27.75" customHeight="1" x14ac:dyDescent="0.2">
      <c r="A24" s="789"/>
      <c r="B24" s="781"/>
      <c r="C24" s="781"/>
      <c r="D24" s="781"/>
      <c r="E24" s="157" t="s">
        <v>149</v>
      </c>
      <c r="F24" s="158"/>
      <c r="G24" s="781"/>
      <c r="H24" s="781"/>
      <c r="I24" s="781"/>
      <c r="J24" s="777"/>
      <c r="K24" s="777"/>
      <c r="L24" s="779"/>
      <c r="M24" s="777"/>
      <c r="N24" s="781"/>
      <c r="O24" s="783"/>
      <c r="P24" s="783"/>
    </row>
    <row r="25" spans="1:20" s="112" customFormat="1" x14ac:dyDescent="0.2">
      <c r="A25" s="159"/>
      <c r="T25" s="173"/>
    </row>
    <row r="26" spans="1:20" ht="22.5" customHeight="1" x14ac:dyDescent="0.2">
      <c r="A26" s="784" t="s">
        <v>247</v>
      </c>
      <c r="B26" s="785"/>
      <c r="C26" s="785"/>
      <c r="D26" s="785"/>
      <c r="E26" s="785"/>
      <c r="F26" s="785"/>
      <c r="G26" s="785"/>
      <c r="H26" s="785"/>
      <c r="I26" s="785"/>
      <c r="J26" s="785"/>
      <c r="K26" s="785"/>
      <c r="L26" s="785"/>
      <c r="M26" s="785"/>
      <c r="N26" s="785"/>
      <c r="O26" s="785"/>
      <c r="P26" s="785"/>
      <c r="Q26" s="785"/>
    </row>
    <row r="27" spans="1:20" s="112" customFormat="1" ht="7.5" customHeight="1" x14ac:dyDescent="0.2">
      <c r="T27" s="173"/>
    </row>
    <row r="28" spans="1:20" s="153" customFormat="1" ht="47.25" customHeight="1" x14ac:dyDescent="0.2">
      <c r="A28" s="150"/>
      <c r="B28" s="786" t="s">
        <v>236</v>
      </c>
      <c r="C28" s="787"/>
      <c r="D28" s="787"/>
      <c r="E28" s="788" t="s">
        <v>237</v>
      </c>
      <c r="F28" s="788"/>
      <c r="G28" s="151" t="s">
        <v>178</v>
      </c>
      <c r="H28" s="151" t="s">
        <v>146</v>
      </c>
      <c r="I28" s="151" t="s">
        <v>239</v>
      </c>
      <c r="J28" s="151" t="s">
        <v>240</v>
      </c>
      <c r="K28" s="151" t="s">
        <v>241</v>
      </c>
      <c r="L28" s="151" t="s">
        <v>147</v>
      </c>
      <c r="M28" s="151" t="s">
        <v>242</v>
      </c>
      <c r="N28" s="151" t="s">
        <v>243</v>
      </c>
      <c r="O28" s="152" t="s">
        <v>244</v>
      </c>
      <c r="P28" s="152" t="s">
        <v>245</v>
      </c>
    </row>
    <row r="29" spans="1:20" s="156" customFormat="1" ht="27.75" customHeight="1" x14ac:dyDescent="0.2">
      <c r="A29" s="789"/>
      <c r="B29" s="780"/>
      <c r="C29" s="780"/>
      <c r="D29" s="780"/>
      <c r="E29" s="154" t="s">
        <v>148</v>
      </c>
      <c r="F29" s="155"/>
      <c r="G29" s="780"/>
      <c r="H29" s="780"/>
      <c r="I29" s="792"/>
      <c r="J29" s="776"/>
      <c r="K29" s="776"/>
      <c r="L29" s="778"/>
      <c r="M29" s="776"/>
      <c r="N29" s="780"/>
      <c r="O29" s="782"/>
      <c r="P29" s="782"/>
    </row>
    <row r="30" spans="1:20" s="156" customFormat="1" ht="27.75" customHeight="1" x14ac:dyDescent="0.2">
      <c r="A30" s="789"/>
      <c r="B30" s="781"/>
      <c r="C30" s="781"/>
      <c r="D30" s="781"/>
      <c r="E30" s="157" t="s">
        <v>149</v>
      </c>
      <c r="F30" s="158"/>
      <c r="G30" s="781"/>
      <c r="H30" s="781"/>
      <c r="I30" s="781"/>
      <c r="J30" s="777"/>
      <c r="K30" s="777"/>
      <c r="L30" s="779"/>
      <c r="M30" s="777"/>
      <c r="N30" s="781"/>
      <c r="O30" s="783"/>
      <c r="P30" s="783"/>
    </row>
    <row r="31" spans="1:20" s="156" customFormat="1" ht="27.75" customHeight="1" x14ac:dyDescent="0.2">
      <c r="A31" s="789"/>
      <c r="B31" s="780"/>
      <c r="C31" s="780"/>
      <c r="D31" s="780"/>
      <c r="E31" s="154" t="s">
        <v>148</v>
      </c>
      <c r="F31" s="155"/>
      <c r="G31" s="780"/>
      <c r="H31" s="780"/>
      <c r="I31" s="792"/>
      <c r="J31" s="776"/>
      <c r="K31" s="776"/>
      <c r="L31" s="778"/>
      <c r="M31" s="776"/>
      <c r="N31" s="780"/>
      <c r="O31" s="782"/>
      <c r="P31" s="782"/>
    </row>
    <row r="32" spans="1:20" s="156" customFormat="1" ht="27.75" customHeight="1" x14ac:dyDescent="0.2">
      <c r="A32" s="789"/>
      <c r="B32" s="781"/>
      <c r="C32" s="781"/>
      <c r="D32" s="781"/>
      <c r="E32" s="157" t="s">
        <v>149</v>
      </c>
      <c r="F32" s="158"/>
      <c r="G32" s="781"/>
      <c r="H32" s="781"/>
      <c r="I32" s="781"/>
      <c r="J32" s="777"/>
      <c r="K32" s="777"/>
      <c r="L32" s="779"/>
      <c r="M32" s="777"/>
      <c r="N32" s="781"/>
      <c r="O32" s="783"/>
      <c r="P32" s="783"/>
    </row>
    <row r="33" spans="1:20" s="156" customFormat="1" ht="27.75" customHeight="1" x14ac:dyDescent="0.2">
      <c r="A33" s="789"/>
      <c r="B33" s="780"/>
      <c r="C33" s="780"/>
      <c r="D33" s="780"/>
      <c r="E33" s="154" t="s">
        <v>148</v>
      </c>
      <c r="F33" s="155"/>
      <c r="G33" s="780"/>
      <c r="H33" s="780"/>
      <c r="I33" s="792"/>
      <c r="J33" s="776"/>
      <c r="K33" s="776"/>
      <c r="L33" s="778"/>
      <c r="M33" s="776"/>
      <c r="N33" s="780"/>
      <c r="O33" s="782"/>
      <c r="P33" s="782"/>
    </row>
    <row r="34" spans="1:20" s="156" customFormat="1" ht="27.75" customHeight="1" x14ac:dyDescent="0.2">
      <c r="A34" s="789"/>
      <c r="B34" s="781"/>
      <c r="C34" s="781"/>
      <c r="D34" s="781"/>
      <c r="E34" s="157" t="s">
        <v>149</v>
      </c>
      <c r="F34" s="158"/>
      <c r="G34" s="781"/>
      <c r="H34" s="781"/>
      <c r="I34" s="781"/>
      <c r="J34" s="777"/>
      <c r="K34" s="777"/>
      <c r="L34" s="779"/>
      <c r="M34" s="777"/>
      <c r="N34" s="781"/>
      <c r="O34" s="783"/>
      <c r="P34" s="783"/>
    </row>
    <row r="35" spans="1:20" s="112" customFormat="1" x14ac:dyDescent="0.2">
      <c r="A35" s="159"/>
      <c r="T35" s="173"/>
    </row>
    <row r="36" spans="1:20" ht="22.5" customHeight="1" x14ac:dyDescent="0.2">
      <c r="A36" s="784" t="s">
        <v>248</v>
      </c>
      <c r="B36" s="785"/>
      <c r="C36" s="785"/>
      <c r="D36" s="785"/>
      <c r="E36" s="785"/>
      <c r="F36" s="785"/>
      <c r="G36" s="785"/>
      <c r="H36" s="785"/>
      <c r="I36" s="785"/>
      <c r="J36" s="785"/>
      <c r="K36" s="785"/>
      <c r="L36" s="785"/>
      <c r="M36" s="785"/>
      <c r="N36" s="785"/>
      <c r="O36" s="785"/>
      <c r="P36" s="785"/>
      <c r="Q36" s="785"/>
    </row>
    <row r="37" spans="1:20" s="112" customFormat="1" ht="7.5" customHeight="1" x14ac:dyDescent="0.2">
      <c r="T37" s="173"/>
    </row>
    <row r="38" spans="1:20" s="153" customFormat="1" ht="47.25" customHeight="1" x14ac:dyDescent="0.2">
      <c r="A38" s="150"/>
      <c r="B38" s="786" t="s">
        <v>236</v>
      </c>
      <c r="C38" s="787"/>
      <c r="D38" s="787"/>
      <c r="E38" s="788" t="s">
        <v>237</v>
      </c>
      <c r="F38" s="788"/>
      <c r="G38" s="151" t="s">
        <v>178</v>
      </c>
      <c r="H38" s="151" t="s">
        <v>146</v>
      </c>
      <c r="I38" s="151" t="s">
        <v>239</v>
      </c>
      <c r="J38" s="151" t="s">
        <v>240</v>
      </c>
      <c r="K38" s="151" t="s">
        <v>241</v>
      </c>
      <c r="L38" s="151" t="s">
        <v>147</v>
      </c>
      <c r="M38" s="151" t="s">
        <v>242</v>
      </c>
      <c r="N38" s="151" t="s">
        <v>243</v>
      </c>
      <c r="O38" s="152" t="s">
        <v>244</v>
      </c>
      <c r="P38" s="152" t="s">
        <v>245</v>
      </c>
    </row>
    <row r="39" spans="1:20" s="156" customFormat="1" ht="27.75" customHeight="1" x14ac:dyDescent="0.2">
      <c r="A39" s="789"/>
      <c r="B39" s="780"/>
      <c r="C39" s="780"/>
      <c r="D39" s="780"/>
      <c r="E39" s="154" t="s">
        <v>148</v>
      </c>
      <c r="F39" s="155"/>
      <c r="G39" s="780"/>
      <c r="H39" s="780"/>
      <c r="I39" s="792"/>
      <c r="J39" s="776"/>
      <c r="K39" s="776"/>
      <c r="L39" s="778"/>
      <c r="M39" s="776"/>
      <c r="N39" s="780"/>
      <c r="O39" s="782"/>
      <c r="P39" s="782"/>
    </row>
    <row r="40" spans="1:20" s="156" customFormat="1" ht="27.75" customHeight="1" x14ac:dyDescent="0.2">
      <c r="A40" s="789"/>
      <c r="B40" s="781"/>
      <c r="C40" s="781"/>
      <c r="D40" s="781"/>
      <c r="E40" s="157" t="s">
        <v>149</v>
      </c>
      <c r="F40" s="158"/>
      <c r="G40" s="781"/>
      <c r="H40" s="781"/>
      <c r="I40" s="781"/>
      <c r="J40" s="777"/>
      <c r="K40" s="777"/>
      <c r="L40" s="779"/>
      <c r="M40" s="777"/>
      <c r="N40" s="781"/>
      <c r="O40" s="783"/>
      <c r="P40" s="783"/>
    </row>
    <row r="41" spans="1:20" s="156" customFormat="1" ht="27.75" customHeight="1" x14ac:dyDescent="0.2">
      <c r="A41" s="789"/>
      <c r="B41" s="780"/>
      <c r="C41" s="780"/>
      <c r="D41" s="780"/>
      <c r="E41" s="154" t="s">
        <v>148</v>
      </c>
      <c r="F41" s="155"/>
      <c r="G41" s="780"/>
      <c r="H41" s="780"/>
      <c r="I41" s="792"/>
      <c r="J41" s="776"/>
      <c r="K41" s="776"/>
      <c r="L41" s="778"/>
      <c r="M41" s="776"/>
      <c r="N41" s="780"/>
      <c r="O41" s="782"/>
      <c r="P41" s="782"/>
    </row>
    <row r="42" spans="1:20" s="156" customFormat="1" ht="27.75" customHeight="1" x14ac:dyDescent="0.2">
      <c r="A42" s="789"/>
      <c r="B42" s="781"/>
      <c r="C42" s="781"/>
      <c r="D42" s="781"/>
      <c r="E42" s="157" t="s">
        <v>149</v>
      </c>
      <c r="F42" s="158"/>
      <c r="G42" s="781"/>
      <c r="H42" s="781"/>
      <c r="I42" s="781"/>
      <c r="J42" s="777"/>
      <c r="K42" s="777"/>
      <c r="L42" s="779"/>
      <c r="M42" s="777"/>
      <c r="N42" s="781"/>
      <c r="O42" s="783"/>
      <c r="P42" s="783"/>
    </row>
    <row r="43" spans="1:20" s="156" customFormat="1" ht="27.75" customHeight="1" x14ac:dyDescent="0.2">
      <c r="A43" s="789"/>
      <c r="B43" s="780"/>
      <c r="C43" s="780"/>
      <c r="D43" s="780"/>
      <c r="E43" s="154" t="s">
        <v>148</v>
      </c>
      <c r="F43" s="155"/>
      <c r="G43" s="780"/>
      <c r="H43" s="780"/>
      <c r="I43" s="792"/>
      <c r="J43" s="776"/>
      <c r="K43" s="776"/>
      <c r="L43" s="778"/>
      <c r="M43" s="776"/>
      <c r="N43" s="780"/>
      <c r="O43" s="782"/>
      <c r="P43" s="782"/>
    </row>
    <row r="44" spans="1:20" s="156" customFormat="1" ht="27.75" customHeight="1" x14ac:dyDescent="0.2">
      <c r="A44" s="789"/>
      <c r="B44" s="781"/>
      <c r="C44" s="781"/>
      <c r="D44" s="781"/>
      <c r="E44" s="157" t="s">
        <v>149</v>
      </c>
      <c r="F44" s="158"/>
      <c r="G44" s="781"/>
      <c r="H44" s="781"/>
      <c r="I44" s="781"/>
      <c r="J44" s="777"/>
      <c r="K44" s="777"/>
      <c r="L44" s="779"/>
      <c r="M44" s="777"/>
      <c r="N44" s="781"/>
      <c r="O44" s="783"/>
      <c r="P44" s="783"/>
    </row>
    <row r="45" spans="1:20" s="112" customFormat="1" x14ac:dyDescent="0.2">
      <c r="A45" s="159"/>
      <c r="T45" s="173"/>
    </row>
    <row r="46" spans="1:20" x14ac:dyDescent="0.2">
      <c r="A46" s="160"/>
    </row>
    <row r="47" spans="1:20" x14ac:dyDescent="0.2">
      <c r="A47" s="160"/>
    </row>
    <row r="48" spans="1:20" x14ac:dyDescent="0.2">
      <c r="A48" s="160"/>
    </row>
    <row r="49" spans="1:1" x14ac:dyDescent="0.2">
      <c r="A49" s="160"/>
    </row>
    <row r="50" spans="1:1" x14ac:dyDescent="0.2">
      <c r="A50" s="160"/>
    </row>
    <row r="51" spans="1:1" x14ac:dyDescent="0.2">
      <c r="A51" s="160"/>
    </row>
    <row r="52" spans="1:1" x14ac:dyDescent="0.2">
      <c r="A52" s="160"/>
    </row>
    <row r="53" spans="1:1" x14ac:dyDescent="0.2">
      <c r="A53" s="160"/>
    </row>
    <row r="54" spans="1:1" x14ac:dyDescent="0.2">
      <c r="A54" s="160"/>
    </row>
    <row r="55" spans="1:1" x14ac:dyDescent="0.2">
      <c r="A55" s="160"/>
    </row>
    <row r="56" spans="1:1" x14ac:dyDescent="0.2">
      <c r="A56" s="160"/>
    </row>
    <row r="57" spans="1:1" x14ac:dyDescent="0.2">
      <c r="A57" s="160"/>
    </row>
    <row r="58" spans="1:1" x14ac:dyDescent="0.2">
      <c r="A58" s="160"/>
    </row>
    <row r="59" spans="1:1" x14ac:dyDescent="0.2">
      <c r="A59" s="160"/>
    </row>
    <row r="60" spans="1:1" x14ac:dyDescent="0.2">
      <c r="A60" s="160"/>
    </row>
    <row r="61" spans="1:1" x14ac:dyDescent="0.2">
      <c r="A61" s="160"/>
    </row>
    <row r="62" spans="1:1" x14ac:dyDescent="0.2">
      <c r="A62" s="160"/>
    </row>
    <row r="63" spans="1:1" x14ac:dyDescent="0.2">
      <c r="A63" s="160"/>
    </row>
  </sheetData>
  <sheetProtection password="DC9F" sheet="1" objects="1" scenarios="1" formatRows="0" selectLockedCells="1"/>
  <mergeCells count="157">
    <mergeCell ref="A41:A42"/>
    <mergeCell ref="B41:D42"/>
    <mergeCell ref="G41:G42"/>
    <mergeCell ref="H41:H42"/>
    <mergeCell ref="I41:I42"/>
    <mergeCell ref="N43:N44"/>
    <mergeCell ref="O43:O44"/>
    <mergeCell ref="P43:P44"/>
    <mergeCell ref="P41:P42"/>
    <mergeCell ref="A43:A44"/>
    <mergeCell ref="B43:D44"/>
    <mergeCell ref="G43:G44"/>
    <mergeCell ref="H43:H44"/>
    <mergeCell ref="I43:I44"/>
    <mergeCell ref="J43:J44"/>
    <mergeCell ref="K43:K44"/>
    <mergeCell ref="L43:L44"/>
    <mergeCell ref="M43:M44"/>
    <mergeCell ref="J41:J42"/>
    <mergeCell ref="K41:K42"/>
    <mergeCell ref="L41:L42"/>
    <mergeCell ref="M41:M42"/>
    <mergeCell ref="N41:N42"/>
    <mergeCell ref="O41:O42"/>
    <mergeCell ref="A36:Q36"/>
    <mergeCell ref="B38:D38"/>
    <mergeCell ref="E38:F38"/>
    <mergeCell ref="A39:A40"/>
    <mergeCell ref="B39:D40"/>
    <mergeCell ref="G39:G40"/>
    <mergeCell ref="H39:H40"/>
    <mergeCell ref="I39:I40"/>
    <mergeCell ref="J39:J40"/>
    <mergeCell ref="K39:K40"/>
    <mergeCell ref="L39:L40"/>
    <mergeCell ref="M39:M40"/>
    <mergeCell ref="N39:N40"/>
    <mergeCell ref="O39:O40"/>
    <mergeCell ref="P39:P40"/>
    <mergeCell ref="K33:K34"/>
    <mergeCell ref="L33:L34"/>
    <mergeCell ref="M33:M34"/>
    <mergeCell ref="N33:N34"/>
    <mergeCell ref="O33:O34"/>
    <mergeCell ref="P33:P34"/>
    <mergeCell ref="A33:A34"/>
    <mergeCell ref="B33:D34"/>
    <mergeCell ref="G33:G34"/>
    <mergeCell ref="H33:H34"/>
    <mergeCell ref="I33:I34"/>
    <mergeCell ref="J33:J34"/>
    <mergeCell ref="K31:K32"/>
    <mergeCell ref="L31:L32"/>
    <mergeCell ref="M31:M32"/>
    <mergeCell ref="N31:N32"/>
    <mergeCell ref="O31:O32"/>
    <mergeCell ref="P31:P32"/>
    <mergeCell ref="A31:A32"/>
    <mergeCell ref="B31:D32"/>
    <mergeCell ref="G31:G32"/>
    <mergeCell ref="H31:H32"/>
    <mergeCell ref="I31:I32"/>
    <mergeCell ref="J31:J32"/>
    <mergeCell ref="K29:K30"/>
    <mergeCell ref="L29:L30"/>
    <mergeCell ref="M29:M30"/>
    <mergeCell ref="N29:N30"/>
    <mergeCell ref="O29:O30"/>
    <mergeCell ref="P29:P30"/>
    <mergeCell ref="A29:A30"/>
    <mergeCell ref="B29:D30"/>
    <mergeCell ref="G29:G30"/>
    <mergeCell ref="H29:H30"/>
    <mergeCell ref="I29:I30"/>
    <mergeCell ref="J29:J30"/>
    <mergeCell ref="B28:D28"/>
    <mergeCell ref="E28:F28"/>
    <mergeCell ref="P21:P22"/>
    <mergeCell ref="A23:A24"/>
    <mergeCell ref="B23:D24"/>
    <mergeCell ref="G23:G24"/>
    <mergeCell ref="H23:H24"/>
    <mergeCell ref="I23:I24"/>
    <mergeCell ref="J23:J24"/>
    <mergeCell ref="K23:K24"/>
    <mergeCell ref="L23:L24"/>
    <mergeCell ref="M23:M24"/>
    <mergeCell ref="J21:J22"/>
    <mergeCell ref="K21:K22"/>
    <mergeCell ref="L21:L22"/>
    <mergeCell ref="M21:M22"/>
    <mergeCell ref="N21:N22"/>
    <mergeCell ref="O21:O22"/>
    <mergeCell ref="A21:A22"/>
    <mergeCell ref="B21:D22"/>
    <mergeCell ref="G21:G22"/>
    <mergeCell ref="H21:H22"/>
    <mergeCell ref="I21:I22"/>
    <mergeCell ref="N23:N24"/>
    <mergeCell ref="O23:O24"/>
    <mergeCell ref="P23:P24"/>
    <mergeCell ref="A26:Q26"/>
    <mergeCell ref="A16:Q16"/>
    <mergeCell ref="B18:D18"/>
    <mergeCell ref="E18:F18"/>
    <mergeCell ref="A19:A20"/>
    <mergeCell ref="B19:D20"/>
    <mergeCell ref="G19:G20"/>
    <mergeCell ref="H19:H20"/>
    <mergeCell ref="I19:I20"/>
    <mergeCell ref="J19:J20"/>
    <mergeCell ref="K19:K20"/>
    <mergeCell ref="L19:L20"/>
    <mergeCell ref="M19:M20"/>
    <mergeCell ref="N19:N20"/>
    <mergeCell ref="O19:O20"/>
    <mergeCell ref="P19:P20"/>
    <mergeCell ref="K12:K13"/>
    <mergeCell ref="L12:L13"/>
    <mergeCell ref="M12:M13"/>
    <mergeCell ref="N12:N13"/>
    <mergeCell ref="O12:O13"/>
    <mergeCell ref="P12:P13"/>
    <mergeCell ref="A12:A13"/>
    <mergeCell ref="B12:D13"/>
    <mergeCell ref="G12:G13"/>
    <mergeCell ref="H12:H13"/>
    <mergeCell ref="I12:I13"/>
    <mergeCell ref="J12:J13"/>
    <mergeCell ref="K10:K11"/>
    <mergeCell ref="L10:L11"/>
    <mergeCell ref="M10:M11"/>
    <mergeCell ref="N10:N11"/>
    <mergeCell ref="O10:O11"/>
    <mergeCell ref="P10:P11"/>
    <mergeCell ref="A10:A11"/>
    <mergeCell ref="B10:D11"/>
    <mergeCell ref="G10:G11"/>
    <mergeCell ref="H10:H11"/>
    <mergeCell ref="I10:I11"/>
    <mergeCell ref="J10:J11"/>
    <mergeCell ref="K8:K9"/>
    <mergeCell ref="L8:L9"/>
    <mergeCell ref="M8:M9"/>
    <mergeCell ref="N8:N9"/>
    <mergeCell ref="O8:O9"/>
    <mergeCell ref="P8:P9"/>
    <mergeCell ref="A3:K3"/>
    <mergeCell ref="A5:Q5"/>
    <mergeCell ref="B7:D7"/>
    <mergeCell ref="E7:F7"/>
    <mergeCell ref="A8:A9"/>
    <mergeCell ref="B8:D9"/>
    <mergeCell ref="G8:G9"/>
    <mergeCell ref="H8:H9"/>
    <mergeCell ref="I8:I9"/>
    <mergeCell ref="J8:J9"/>
  </mergeCells>
  <dataValidations count="9">
    <dataValidation type="decimal" allowBlank="1" showInputMessage="1" showErrorMessage="1" error="Inserir um número!" sqref="H8:H9">
      <formula1>0</formula1>
      <formula2>500</formula2>
    </dataValidation>
    <dataValidation type="whole" allowBlank="1" showInputMessage="1" showErrorMessage="1" error="Inserir um número inteiro" sqref="M8:M13 M19:M24 M29:M34 M39:M44">
      <formula1>0</formula1>
      <formula2>2000</formula2>
    </dataValidation>
    <dataValidation type="whole" allowBlank="1" showInputMessage="1" showErrorMessage="1" error="Inserir um número inteiro!" sqref="J29:K34 J8:K13 J19:K24 J39:K44">
      <formula1>0</formula1>
      <formula2>1000</formula2>
    </dataValidation>
    <dataValidation type="textLength" allowBlank="1" showInputMessage="1" showErrorMessage="1" sqref="B29:D34 B8:D13 B19:D24 B39:D44">
      <formula1>0</formula1>
      <formula2>200</formula2>
    </dataValidation>
    <dataValidation type="list" allowBlank="1" showInputMessage="1" showErrorMessage="1" sqref="A39:A44 A29:A34 A8:A13 A19:A24">
      <formula1>#REF!</formula1>
    </dataValidation>
    <dataValidation type="list" allowBlank="1" showInputMessage="1" showErrorMessage="1" sqref="F40 F42 F44 F9 F11 F13 F20 F22 F24 F34 F32 F30">
      <formula1>"Workshop,Seminário,Oficina,Círculo de estudos,Outra"</formula1>
    </dataValidation>
    <dataValidation type="list" allowBlank="1" showInputMessage="1" showErrorMessage="1" sqref="F39 F41 F43 F8 F10 F12 F19 F21 F23 F33 F31 F29">
      <formula1>"Presencial,Distância,b-Learning,Outra"</formula1>
    </dataValidation>
    <dataValidation type="date" allowBlank="1" showInputMessage="1" showErrorMessage="1" prompt="Inserir a data da primeira sessão ou do 1.º dia do mês / período em que se iniciou / para o qual está previsto o início (entre 1 de setembro de 2015 e 31 de agosto de 2016)" sqref="I8:I13 I19:I24 I29:I34 I39:I44">
      <formula1>42248</formula1>
      <formula2>42613</formula2>
    </dataValidation>
    <dataValidation type="list" allowBlank="1" showInputMessage="1" showErrorMessage="1" sqref="L8:L13 L39:L44 L29:L34 L19:L24">
      <formula1>$T$1:$T$7</formula1>
    </dataValidation>
  </dataValidations>
  <hyperlinks>
    <hyperlink ref="I2" location="Início!A1" display="Início"/>
    <hyperlink ref="J2" location="'6_Observações'!A1" display="Anterior"/>
    <hyperlink ref="K2" location="'Anexo_II_Perito_Externo 2016_17'!A1" display="Seguinte"/>
  </hyperlinks>
  <printOptions horizontalCentered="1"/>
  <pageMargins left="0.19685039370078741" right="0.11811023622047245" top="0.78740157480314965" bottom="0.59055118110236227" header="0.31496062992125984" footer="0.31496062992125984"/>
  <pageSetup paperSize="8" scale="85" pageOrder="overThenDown" orientation="landscape" r:id="rId1"/>
  <headerFooter alignWithMargins="0">
    <oddHeader>&amp;C&amp;"Calibri,Negrito"&amp;16Relatório Semestral TEIP 2016</oddHeader>
    <oddFooter>&amp;L&amp;8Relatório semestral TEIP - 2015/16&amp;R&amp;8Questão 6</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15</vt:i4>
      </vt:variant>
    </vt:vector>
  </HeadingPairs>
  <TitlesOfParts>
    <vt:vector size="25" baseType="lpstr">
      <vt:lpstr>Início</vt:lpstr>
      <vt:lpstr>Atualização de dados</vt:lpstr>
      <vt:lpstr>1_IAA</vt:lpstr>
      <vt:lpstr>2_Av I</vt:lpstr>
      <vt:lpstr>3_Av Ext</vt:lpstr>
      <vt:lpstr>4_Indisciplina</vt:lpstr>
      <vt:lpstr>5.1 - Metas Gerais</vt:lpstr>
      <vt:lpstr>6_Observações</vt:lpstr>
      <vt:lpstr>Anexo_I_Plano_Cap 2016_17</vt:lpstr>
      <vt:lpstr>Anexo_II_Perito_Externo 2016_17</vt:lpstr>
      <vt:lpstr>_3.1_____Avaliação_Aferida_4.º_ano</vt:lpstr>
      <vt:lpstr>_3.3_____Avaliação_Aferida_9.º_ano</vt:lpstr>
      <vt:lpstr>_3.4_____Avaliação_Aferida_12.º_ano</vt:lpstr>
      <vt:lpstr>'1_IAA'!Área_de_Impressão</vt:lpstr>
      <vt:lpstr>'2_Av I'!Área_de_Impressão</vt:lpstr>
      <vt:lpstr>'3_Av Ext'!Área_de_Impressão</vt:lpstr>
      <vt:lpstr>'5.1 - Metas Gerais'!Área_de_Impressão</vt:lpstr>
      <vt:lpstr>'Anexo_I_Plano_Cap 2016_17'!Área_de_Impressão</vt:lpstr>
      <vt:lpstr>'Anexo_II_Perito_Externo 2016_17'!Área_de_Impressão</vt:lpstr>
      <vt:lpstr>'1_IAA'!Títulos_de_Impressão</vt:lpstr>
      <vt:lpstr>'2_Av I'!Títulos_de_Impressão</vt:lpstr>
      <vt:lpstr>'3_Av Ext'!Títulos_de_Impressão</vt:lpstr>
      <vt:lpstr>'5.1 - Metas Gerais'!Títulos_de_Impressão</vt:lpstr>
      <vt:lpstr>'Anexo_I_Plano_Cap 2016_17'!Títulos_de_Impressão</vt:lpstr>
      <vt:lpstr>'Anexo_II_Perito_Externo 2016_17'!Títulos_de_Impressão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fmendes</dc:creator>
  <cp:lastModifiedBy>Teresa Lopes</cp:lastModifiedBy>
  <cp:lastPrinted>2016-07-26T10:05:23Z</cp:lastPrinted>
  <dcterms:created xsi:type="dcterms:W3CDTF">2011-02-11T14:58:19Z</dcterms:created>
  <dcterms:modified xsi:type="dcterms:W3CDTF">2016-07-26T10:05:27Z</dcterms:modified>
</cp:coreProperties>
</file>